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2612" windowHeight="11592" tabRatio="791" activeTab="2"/>
  </bookViews>
  <sheets>
    <sheet name="皮" sheetId="18" r:id="rId1"/>
    <sheet name="2021本级一般公共预算收入决算表  " sheetId="26" r:id="rId2"/>
    <sheet name="2021年本级一般公共预算支出（功能类）" sheetId="15" r:id="rId3"/>
    <sheet name="2021年本级一般公共预算支出经济类" sheetId="31" r:id="rId4"/>
    <sheet name="2021年本级一般公共预算收支平衡表" sheetId="23" r:id="rId5"/>
    <sheet name="2021年本级一般公共预算转移支付决算表" sheetId="27" r:id="rId6"/>
    <sheet name="2021年本级政府一般债务限额及余额明细表" sheetId="30" r:id="rId7"/>
    <sheet name="2021年本级“三公”经费决算汇总表 " sheetId="20" r:id="rId8"/>
    <sheet name="Sheet2" sheetId="32" r:id="rId9"/>
  </sheets>
  <definedNames>
    <definedName name="OLE_LINK1" localSheetId="7">'2021年本级“三公”经费决算汇总表 '!$A$51</definedName>
    <definedName name="_xlnm.Print_Area" localSheetId="1">'2021本级一般公共预算收入决算表  '!$A$1:$F$28</definedName>
    <definedName name="_xlnm.Print_Area" localSheetId="7">#N/A</definedName>
    <definedName name="_xlnm.Print_Area" localSheetId="4">'2021年本级一般公共预算收支平衡表'!$A$1:$D$14</definedName>
    <definedName name="_xlnm.Print_Area" localSheetId="2">'2021年本级一般公共预算支出（功能类）'!$A$1:$F$576</definedName>
    <definedName name="_xlnm.Print_Area">#N/A</definedName>
    <definedName name="_xlnm.Print_Titles" localSheetId="1">#N/A</definedName>
    <definedName name="_xlnm.Print_Titles" localSheetId="7">#N/A</definedName>
    <definedName name="_xlnm.Print_Titles" localSheetId="4">'2021年本级一般公共预算收支平衡表'!$A:$A,'2021年本级一般公共预算收支平衡表'!$1:$3</definedName>
    <definedName name="_xlnm.Print_Titles" localSheetId="2">'2021年本级一般公共预算支出（功能类）'!$1:$4</definedName>
    <definedName name="_xlnm.Print_Titles">#N/A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C17" i="26"/>
  <c r="C15"/>
  <c r="C7"/>
  <c r="D8" i="27"/>
  <c r="B18"/>
  <c r="B14"/>
  <c r="B12"/>
  <c r="B11"/>
  <c r="B8"/>
  <c r="F8" s="1"/>
  <c r="D6" i="23"/>
  <c r="D4"/>
  <c r="B4"/>
  <c r="B7"/>
  <c r="B6"/>
  <c r="B5" s="1"/>
  <c r="B14" s="1"/>
  <c r="E47" i="31"/>
  <c r="E46"/>
  <c r="E43"/>
  <c r="E18"/>
  <c r="E17"/>
  <c r="E12"/>
  <c r="G12" s="1"/>
  <c r="I12" s="1"/>
  <c r="E14"/>
  <c r="E13"/>
  <c r="E10"/>
  <c r="E9"/>
  <c r="G9" s="1"/>
  <c r="I9" s="1"/>
  <c r="E8"/>
  <c r="E7"/>
  <c r="G7" s="1"/>
  <c r="I7" s="1"/>
  <c r="D23"/>
  <c r="D47"/>
  <c r="D46"/>
  <c r="D43"/>
  <c r="D28"/>
  <c r="D27"/>
  <c r="F27" s="1"/>
  <c r="H27" s="1"/>
  <c r="D20"/>
  <c r="D19"/>
  <c r="D18"/>
  <c r="D17"/>
  <c r="D14"/>
  <c r="D13"/>
  <c r="D12"/>
  <c r="D10"/>
  <c r="D9"/>
  <c r="D8"/>
  <c r="D7"/>
  <c r="F7" s="1"/>
  <c r="H7" s="1"/>
  <c r="C47"/>
  <c r="C46"/>
  <c r="C43"/>
  <c r="G43" s="1"/>
  <c r="I43" s="1"/>
  <c r="C20"/>
  <c r="C19"/>
  <c r="C18"/>
  <c r="C17"/>
  <c r="C16"/>
  <c r="C14"/>
  <c r="C13"/>
  <c r="C12"/>
  <c r="C11" s="1"/>
  <c r="B7"/>
  <c r="B6"/>
  <c r="B47"/>
  <c r="B46"/>
  <c r="B43"/>
  <c r="B28"/>
  <c r="B27"/>
  <c r="B26"/>
  <c r="B23"/>
  <c r="B18"/>
  <c r="B20"/>
  <c r="B11" s="1"/>
  <c r="B19"/>
  <c r="B17"/>
  <c r="B16"/>
  <c r="B14"/>
  <c r="B13"/>
  <c r="B12"/>
  <c r="B10"/>
  <c r="B9"/>
  <c r="B8"/>
  <c r="C553" i="15"/>
  <c r="C531"/>
  <c r="C490"/>
  <c r="C478"/>
  <c r="C455"/>
  <c r="C427"/>
  <c r="C393"/>
  <c r="C397"/>
  <c r="C396"/>
  <c r="C374"/>
  <c r="C372"/>
  <c r="C348"/>
  <c r="C319"/>
  <c r="C316"/>
  <c r="C302"/>
  <c r="C301"/>
  <c r="C278"/>
  <c r="C245"/>
  <c r="C227"/>
  <c r="C230"/>
  <c r="C229"/>
  <c r="C225"/>
  <c r="C153"/>
  <c r="C136"/>
  <c r="C83"/>
  <c r="C22"/>
  <c r="C23"/>
  <c r="F23" s="1"/>
  <c r="D440"/>
  <c r="B227"/>
  <c r="B22"/>
  <c r="F22" s="1"/>
  <c r="B348"/>
  <c r="B568"/>
  <c r="B531"/>
  <c r="B490"/>
  <c r="B476"/>
  <c r="B456"/>
  <c r="B455"/>
  <c r="B453"/>
  <c r="B446"/>
  <c r="B439"/>
  <c r="B427"/>
  <c r="B419"/>
  <c r="B397"/>
  <c r="B396"/>
  <c r="B374"/>
  <c r="B372"/>
  <c r="F372" s="1"/>
  <c r="B367"/>
  <c r="B319"/>
  <c r="B310"/>
  <c r="B302"/>
  <c r="B301"/>
  <c r="B278"/>
  <c r="B230"/>
  <c r="B229"/>
  <c r="B225"/>
  <c r="B154"/>
  <c r="B153"/>
  <c r="B136"/>
  <c r="B83"/>
  <c r="B23"/>
  <c r="C28" i="26"/>
  <c r="C27"/>
  <c r="C18"/>
  <c r="C16"/>
  <c r="C14"/>
  <c r="C13"/>
  <c r="C12"/>
  <c r="C10"/>
  <c r="C9"/>
  <c r="C8"/>
  <c r="D28"/>
  <c r="D27"/>
  <c r="D18"/>
  <c r="D17"/>
  <c r="D16"/>
  <c r="D15"/>
  <c r="D14"/>
  <c r="D13"/>
  <c r="D12"/>
  <c r="D10"/>
  <c r="D9"/>
  <c r="D8"/>
  <c r="D7"/>
  <c r="B11" i="20"/>
  <c r="B8"/>
  <c r="E40" i="27"/>
  <c r="E41"/>
  <c r="E42"/>
  <c r="F6"/>
  <c r="F7"/>
  <c r="F11"/>
  <c r="F12"/>
  <c r="F13"/>
  <c r="F14"/>
  <c r="F15"/>
  <c r="F16"/>
  <c r="F17"/>
  <c r="F18"/>
  <c r="F19"/>
  <c r="F20"/>
  <c r="F21"/>
  <c r="F25"/>
  <c r="F26"/>
  <c r="F28"/>
  <c r="F29"/>
  <c r="F30"/>
  <c r="F31"/>
  <c r="F33"/>
  <c r="F34"/>
  <c r="F39"/>
  <c r="F43"/>
  <c r="F45"/>
  <c r="F48"/>
  <c r="F49"/>
  <c r="F51"/>
  <c r="F52"/>
  <c r="F53"/>
  <c r="F54"/>
  <c r="F55"/>
  <c r="F57"/>
  <c r="F59"/>
  <c r="F61"/>
  <c r="F62"/>
  <c r="F64"/>
  <c r="E6"/>
  <c r="E7"/>
  <c r="E8"/>
  <c r="E11"/>
  <c r="E12"/>
  <c r="E13"/>
  <c r="E14"/>
  <c r="E15"/>
  <c r="E16"/>
  <c r="E17"/>
  <c r="E18"/>
  <c r="E19"/>
  <c r="E20"/>
  <c r="E21"/>
  <c r="E25"/>
  <c r="E26"/>
  <c r="E28"/>
  <c r="E29"/>
  <c r="E30"/>
  <c r="E31"/>
  <c r="E33"/>
  <c r="E34"/>
  <c r="E39"/>
  <c r="E43"/>
  <c r="E45"/>
  <c r="E48"/>
  <c r="E49"/>
  <c r="E51"/>
  <c r="E52"/>
  <c r="E53"/>
  <c r="E54"/>
  <c r="E56"/>
  <c r="E57"/>
  <c r="E59"/>
  <c r="E61"/>
  <c r="E62"/>
  <c r="E65"/>
  <c r="C56"/>
  <c r="F56" s="1"/>
  <c r="I31" i="31"/>
  <c r="I32"/>
  <c r="I33"/>
  <c r="H9"/>
  <c r="H10"/>
  <c r="H15"/>
  <c r="H25"/>
  <c r="H31"/>
  <c r="H32"/>
  <c r="H33"/>
  <c r="H34"/>
  <c r="H35"/>
  <c r="H36"/>
  <c r="H37"/>
  <c r="H38"/>
  <c r="H40"/>
  <c r="H41"/>
  <c r="H44"/>
  <c r="H45"/>
  <c r="H48"/>
  <c r="H49"/>
  <c r="H50"/>
  <c r="H51"/>
  <c r="H52"/>
  <c r="G8"/>
  <c r="I8" s="1"/>
  <c r="G10"/>
  <c r="I10" s="1"/>
  <c r="G13"/>
  <c r="I13" s="1"/>
  <c r="G14"/>
  <c r="I14" s="1"/>
  <c r="G15"/>
  <c r="G16"/>
  <c r="G17"/>
  <c r="I17" s="1"/>
  <c r="G18"/>
  <c r="I18" s="1"/>
  <c r="G19"/>
  <c r="I19" s="1"/>
  <c r="G20"/>
  <c r="I20" s="1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4"/>
  <c r="G45"/>
  <c r="G46"/>
  <c r="I46" s="1"/>
  <c r="G47"/>
  <c r="I47" s="1"/>
  <c r="G48"/>
  <c r="G49"/>
  <c r="G50"/>
  <c r="G51"/>
  <c r="G52"/>
  <c r="G53"/>
  <c r="G54"/>
  <c r="F8"/>
  <c r="H8" s="1"/>
  <c r="F9"/>
  <c r="F10"/>
  <c r="F12"/>
  <c r="H12" s="1"/>
  <c r="F13"/>
  <c r="H13" s="1"/>
  <c r="F14"/>
  <c r="H14" s="1"/>
  <c r="F15"/>
  <c r="F16"/>
  <c r="F17"/>
  <c r="H17" s="1"/>
  <c r="F18"/>
  <c r="H18" s="1"/>
  <c r="F19"/>
  <c r="H19" s="1"/>
  <c r="F20"/>
  <c r="H20" s="1"/>
  <c r="F22"/>
  <c r="F23"/>
  <c r="H23" s="1"/>
  <c r="F24"/>
  <c r="F25"/>
  <c r="F26"/>
  <c r="H26" s="1"/>
  <c r="F28"/>
  <c r="H28" s="1"/>
  <c r="F29"/>
  <c r="F30"/>
  <c r="F31"/>
  <c r="F32"/>
  <c r="F33"/>
  <c r="F34"/>
  <c r="F35"/>
  <c r="F36"/>
  <c r="F37"/>
  <c r="F38"/>
  <c r="F39"/>
  <c r="F40"/>
  <c r="F41"/>
  <c r="F43"/>
  <c r="H43" s="1"/>
  <c r="F44"/>
  <c r="F45"/>
  <c r="F46"/>
  <c r="H46" s="1"/>
  <c r="F47"/>
  <c r="H47" s="1"/>
  <c r="F48"/>
  <c r="F49"/>
  <c r="F50"/>
  <c r="F51"/>
  <c r="F52"/>
  <c r="F53"/>
  <c r="F54"/>
  <c r="C53"/>
  <c r="D53"/>
  <c r="E53"/>
  <c r="B53"/>
  <c r="C50"/>
  <c r="D50"/>
  <c r="E50"/>
  <c r="B50"/>
  <c r="C48"/>
  <c r="D48"/>
  <c r="E48"/>
  <c r="B48"/>
  <c r="C42"/>
  <c r="D42"/>
  <c r="E42"/>
  <c r="B42"/>
  <c r="F42" s="1"/>
  <c r="H42" s="1"/>
  <c r="C38"/>
  <c r="D38"/>
  <c r="E38"/>
  <c r="B38"/>
  <c r="C35"/>
  <c r="D35"/>
  <c r="E35"/>
  <c r="B35"/>
  <c r="C31"/>
  <c r="D31"/>
  <c r="E31"/>
  <c r="B31"/>
  <c r="B29"/>
  <c r="C21"/>
  <c r="E21"/>
  <c r="B21"/>
  <c r="D11"/>
  <c r="E11"/>
  <c r="C6"/>
  <c r="D6"/>
  <c r="E6"/>
  <c r="F7" i="15"/>
  <c r="F8"/>
  <c r="F9"/>
  <c r="F10"/>
  <c r="F11"/>
  <c r="F12"/>
  <c r="F13"/>
  <c r="F14"/>
  <c r="F15"/>
  <c r="F16"/>
  <c r="F17"/>
  <c r="F18"/>
  <c r="F19"/>
  <c r="F20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9"/>
  <c r="F120"/>
  <c r="F121"/>
  <c r="F122"/>
  <c r="F123"/>
  <c r="F124"/>
  <c r="F125"/>
  <c r="F126"/>
  <c r="F127"/>
  <c r="F128"/>
  <c r="F129"/>
  <c r="F130"/>
  <c r="F131"/>
  <c r="F132"/>
  <c r="F133"/>
  <c r="F135"/>
  <c r="F136"/>
  <c r="F137"/>
  <c r="F138"/>
  <c r="F139"/>
  <c r="F140"/>
  <c r="F141"/>
  <c r="F142"/>
  <c r="F143"/>
  <c r="F144"/>
  <c r="F145"/>
  <c r="F147"/>
  <c r="F148"/>
  <c r="F149"/>
  <c r="F150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10"/>
  <c r="F211"/>
  <c r="F212"/>
  <c r="F213"/>
  <c r="F214"/>
  <c r="F215"/>
  <c r="F216"/>
  <c r="F217"/>
  <c r="F219"/>
  <c r="F220"/>
  <c r="F221"/>
  <c r="F222"/>
  <c r="F223"/>
  <c r="F224"/>
  <c r="F225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7"/>
  <c r="F278"/>
  <c r="F279"/>
  <c r="F280"/>
  <c r="F281"/>
  <c r="F282"/>
  <c r="F283"/>
  <c r="F284"/>
  <c r="F285"/>
  <c r="F286"/>
  <c r="F287"/>
  <c r="F288"/>
  <c r="F289"/>
  <c r="F290"/>
  <c r="F292"/>
  <c r="F293"/>
  <c r="F294"/>
  <c r="F295"/>
  <c r="F296"/>
  <c r="F297"/>
  <c r="F298"/>
  <c r="F300"/>
  <c r="F301"/>
  <c r="F302"/>
  <c r="F304"/>
  <c r="F305"/>
  <c r="F306"/>
  <c r="F307"/>
  <c r="F308"/>
  <c r="F309"/>
  <c r="F310"/>
  <c r="F311"/>
  <c r="F312"/>
  <c r="F313"/>
  <c r="F315"/>
  <c r="F316"/>
  <c r="F317"/>
  <c r="F319"/>
  <c r="F320"/>
  <c r="F321"/>
  <c r="F322"/>
  <c r="F323"/>
  <c r="F324"/>
  <c r="F325"/>
  <c r="F326"/>
  <c r="F327"/>
  <c r="F328"/>
  <c r="F329"/>
  <c r="F330"/>
  <c r="F331"/>
  <c r="F332"/>
  <c r="F333"/>
  <c r="F334"/>
  <c r="F336"/>
  <c r="F337"/>
  <c r="F338"/>
  <c r="F339"/>
  <c r="F340"/>
  <c r="F341"/>
  <c r="F342"/>
  <c r="F343"/>
  <c r="F344"/>
  <c r="F345"/>
  <c r="F347"/>
  <c r="F348"/>
  <c r="F349"/>
  <c r="F350"/>
  <c r="F351"/>
  <c r="F352"/>
  <c r="F353"/>
  <c r="F354"/>
  <c r="F355"/>
  <c r="F356"/>
  <c r="F357"/>
  <c r="F358"/>
  <c r="F359"/>
  <c r="F360"/>
  <c r="F361"/>
  <c r="F362"/>
  <c r="F365"/>
  <c r="F366"/>
  <c r="F367"/>
  <c r="F368"/>
  <c r="F369"/>
  <c r="F371"/>
  <c r="F374"/>
  <c r="F375"/>
  <c r="F376"/>
  <c r="F377"/>
  <c r="F378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1"/>
  <c r="F442"/>
  <c r="F443"/>
  <c r="F444"/>
  <c r="F445"/>
  <c r="F446"/>
  <c r="F447"/>
  <c r="F448"/>
  <c r="F449"/>
  <c r="F450"/>
  <c r="F451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2"/>
  <c r="F473"/>
  <c r="F474"/>
  <c r="F475"/>
  <c r="F476"/>
  <c r="F477"/>
  <c r="F478"/>
  <c r="F479"/>
  <c r="F480"/>
  <c r="F481"/>
  <c r="F482"/>
  <c r="F483"/>
  <c r="F484"/>
  <c r="F486"/>
  <c r="F487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5"/>
  <c r="F526"/>
  <c r="F527"/>
  <c r="F528"/>
  <c r="F529"/>
  <c r="F531"/>
  <c r="F532"/>
  <c r="F533"/>
  <c r="F534"/>
  <c r="F535"/>
  <c r="F536"/>
  <c r="F537"/>
  <c r="F538"/>
  <c r="F539"/>
  <c r="F540"/>
  <c r="F541"/>
  <c r="F542"/>
  <c r="F543"/>
  <c r="F545"/>
  <c r="F546"/>
  <c r="F547"/>
  <c r="F548"/>
  <c r="F549"/>
  <c r="F550"/>
  <c r="F551"/>
  <c r="F553"/>
  <c r="F554"/>
  <c r="F555"/>
  <c r="F556"/>
  <c r="F557"/>
  <c r="F558"/>
  <c r="F559"/>
  <c r="F560"/>
  <c r="F561"/>
  <c r="F562"/>
  <c r="F563"/>
  <c r="F564"/>
  <c r="F565"/>
  <c r="F567"/>
  <c r="F568"/>
  <c r="F569"/>
  <c r="F570"/>
  <c r="F571"/>
  <c r="F572"/>
  <c r="F573"/>
  <c r="F574"/>
  <c r="F575"/>
  <c r="F576"/>
  <c r="E7"/>
  <c r="E8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9"/>
  <c r="E120"/>
  <c r="E121"/>
  <c r="E122"/>
  <c r="E123"/>
  <c r="E124"/>
  <c r="E125"/>
  <c r="E126"/>
  <c r="E127"/>
  <c r="E128"/>
  <c r="E129"/>
  <c r="E130"/>
  <c r="E131"/>
  <c r="E132"/>
  <c r="E133"/>
  <c r="E135"/>
  <c r="E136"/>
  <c r="E137"/>
  <c r="E138"/>
  <c r="E139"/>
  <c r="E140"/>
  <c r="E141"/>
  <c r="E142"/>
  <c r="E143"/>
  <c r="E144"/>
  <c r="E145"/>
  <c r="E147"/>
  <c r="E148"/>
  <c r="E149"/>
  <c r="E150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10"/>
  <c r="E211"/>
  <c r="E212"/>
  <c r="E213"/>
  <c r="E214"/>
  <c r="E215"/>
  <c r="E216"/>
  <c r="E217"/>
  <c r="E219"/>
  <c r="E220"/>
  <c r="E221"/>
  <c r="E222"/>
  <c r="E223"/>
  <c r="E224"/>
  <c r="E225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7"/>
  <c r="E278"/>
  <c r="E279"/>
  <c r="E280"/>
  <c r="E281"/>
  <c r="E282"/>
  <c r="E283"/>
  <c r="E284"/>
  <c r="E285"/>
  <c r="E286"/>
  <c r="E287"/>
  <c r="E288"/>
  <c r="E289"/>
  <c r="E290"/>
  <c r="E292"/>
  <c r="E293"/>
  <c r="E294"/>
  <c r="E295"/>
  <c r="E296"/>
  <c r="E297"/>
  <c r="E298"/>
  <c r="E300"/>
  <c r="E301"/>
  <c r="E302"/>
  <c r="E304"/>
  <c r="E305"/>
  <c r="E306"/>
  <c r="E307"/>
  <c r="E308"/>
  <c r="E309"/>
  <c r="E310"/>
  <c r="E311"/>
  <c r="E312"/>
  <c r="E313"/>
  <c r="E315"/>
  <c r="E316"/>
  <c r="E317"/>
  <c r="E319"/>
  <c r="E320"/>
  <c r="E321"/>
  <c r="E322"/>
  <c r="E324"/>
  <c r="E325"/>
  <c r="E326"/>
  <c r="E327"/>
  <c r="E328"/>
  <c r="E329"/>
  <c r="E330"/>
  <c r="E331"/>
  <c r="E332"/>
  <c r="E333"/>
  <c r="E334"/>
  <c r="E336"/>
  <c r="E337"/>
  <c r="E338"/>
  <c r="E339"/>
  <c r="E340"/>
  <c r="E341"/>
  <c r="E342"/>
  <c r="E343"/>
  <c r="E344"/>
  <c r="E345"/>
  <c r="E347"/>
  <c r="E348"/>
  <c r="E349"/>
  <c r="E350"/>
  <c r="E351"/>
  <c r="E352"/>
  <c r="E353"/>
  <c r="E355"/>
  <c r="E356"/>
  <c r="E357"/>
  <c r="E358"/>
  <c r="E359"/>
  <c r="E360"/>
  <c r="E361"/>
  <c r="E362"/>
  <c r="E365"/>
  <c r="E366"/>
  <c r="E367"/>
  <c r="E368"/>
  <c r="E369"/>
  <c r="E371"/>
  <c r="E372"/>
  <c r="E374"/>
  <c r="E375"/>
  <c r="E376"/>
  <c r="E377"/>
  <c r="E378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1"/>
  <c r="E442"/>
  <c r="E443"/>
  <c r="E444"/>
  <c r="E445"/>
  <c r="E446"/>
  <c r="E447"/>
  <c r="E448"/>
  <c r="E449"/>
  <c r="E450"/>
  <c r="E451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1"/>
  <c r="E472"/>
  <c r="E473"/>
  <c r="E474"/>
  <c r="E475"/>
  <c r="E476"/>
  <c r="E477"/>
  <c r="E478"/>
  <c r="E479"/>
  <c r="E480"/>
  <c r="E481"/>
  <c r="E482"/>
  <c r="E483"/>
  <c r="E484"/>
  <c r="E486"/>
  <c r="E487"/>
  <c r="E489"/>
  <c r="E490"/>
  <c r="E491"/>
  <c r="E492"/>
  <c r="E493"/>
  <c r="E494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5"/>
  <c r="E526"/>
  <c r="E527"/>
  <c r="E528"/>
  <c r="E529"/>
  <c r="E531"/>
  <c r="E532"/>
  <c r="E533"/>
  <c r="E534"/>
  <c r="E535"/>
  <c r="E536"/>
  <c r="E537"/>
  <c r="E538"/>
  <c r="E539"/>
  <c r="E540"/>
  <c r="E541"/>
  <c r="E542"/>
  <c r="E543"/>
  <c r="E545"/>
  <c r="E546"/>
  <c r="E547"/>
  <c r="E548"/>
  <c r="E549"/>
  <c r="E550"/>
  <c r="E551"/>
  <c r="E553"/>
  <c r="E554"/>
  <c r="E555"/>
  <c r="E556"/>
  <c r="E557"/>
  <c r="E558"/>
  <c r="E559"/>
  <c r="E560"/>
  <c r="E561"/>
  <c r="E562"/>
  <c r="E563"/>
  <c r="E564"/>
  <c r="E565"/>
  <c r="E567"/>
  <c r="E568"/>
  <c r="E569"/>
  <c r="E570"/>
  <c r="E571"/>
  <c r="E572"/>
  <c r="E573"/>
  <c r="E574"/>
  <c r="E575"/>
  <c r="E576"/>
  <c r="C504"/>
  <c r="C464"/>
  <c r="C453"/>
  <c r="C446"/>
  <c r="C425"/>
  <c r="C412"/>
  <c r="C419"/>
  <c r="C409"/>
  <c r="C401"/>
  <c r="C385"/>
  <c r="C438"/>
  <c r="C367"/>
  <c r="C366"/>
  <c r="C364" s="1"/>
  <c r="C377"/>
  <c r="D377"/>
  <c r="C343"/>
  <c r="C324"/>
  <c r="C308"/>
  <c r="C309"/>
  <c r="C298"/>
  <c r="C296"/>
  <c r="C318"/>
  <c r="C281"/>
  <c r="C275"/>
  <c r="C271"/>
  <c r="C268"/>
  <c r="C269"/>
  <c r="C259"/>
  <c r="C252"/>
  <c r="C249"/>
  <c r="C241"/>
  <c r="C236"/>
  <c r="C233"/>
  <c r="C231"/>
  <c r="C224"/>
  <c r="C243"/>
  <c r="C197"/>
  <c r="C207"/>
  <c r="D207"/>
  <c r="C186"/>
  <c r="D186"/>
  <c r="E186" s="1"/>
  <c r="C155"/>
  <c r="C162"/>
  <c r="C159"/>
  <c r="C154"/>
  <c r="C151"/>
  <c r="C152"/>
  <c r="C157"/>
  <c r="C123"/>
  <c r="C135"/>
  <c r="C124"/>
  <c r="C116"/>
  <c r="C103"/>
  <c r="C87"/>
  <c r="C60"/>
  <c r="C36"/>
  <c r="C48"/>
  <c r="C32"/>
  <c r="C545"/>
  <c r="D545"/>
  <c r="B545"/>
  <c r="C488"/>
  <c r="D488"/>
  <c r="B488"/>
  <c r="F488" s="1"/>
  <c r="C350"/>
  <c r="D350"/>
  <c r="B350"/>
  <c r="C303"/>
  <c r="D303"/>
  <c r="B303"/>
  <c r="F303" s="1"/>
  <c r="C199"/>
  <c r="D199"/>
  <c r="B199"/>
  <c r="F25" i="26"/>
  <c r="F20"/>
  <c r="F30"/>
  <c r="E29"/>
  <c r="F29"/>
  <c r="F18"/>
  <c r="C6"/>
  <c r="B9" i="20"/>
  <c r="B6" i="26"/>
  <c r="D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F17"/>
  <c r="E18"/>
  <c r="E19"/>
  <c r="F19"/>
  <c r="B22"/>
  <c r="B21" s="1"/>
  <c r="C22"/>
  <c r="C21" s="1"/>
  <c r="D22"/>
  <c r="D21" s="1"/>
  <c r="E23"/>
  <c r="F23"/>
  <c r="E24"/>
  <c r="F24"/>
  <c r="E25"/>
  <c r="E26"/>
  <c r="F26"/>
  <c r="E27"/>
  <c r="F27"/>
  <c r="E28"/>
  <c r="F28"/>
  <c r="E30"/>
  <c r="B7" i="15"/>
  <c r="C7"/>
  <c r="D7"/>
  <c r="B15"/>
  <c r="C15"/>
  <c r="D15"/>
  <c r="B21"/>
  <c r="C21"/>
  <c r="D21"/>
  <c r="B26"/>
  <c r="C26"/>
  <c r="D26"/>
  <c r="B33"/>
  <c r="C33"/>
  <c r="D33"/>
  <c r="B38"/>
  <c r="C38"/>
  <c r="D38"/>
  <c r="B44"/>
  <c r="C44"/>
  <c r="D44"/>
  <c r="B47"/>
  <c r="C47"/>
  <c r="D47"/>
  <c r="B52"/>
  <c r="C52"/>
  <c r="D52"/>
  <c r="B58"/>
  <c r="C58"/>
  <c r="D58"/>
  <c r="B62"/>
  <c r="C62"/>
  <c r="D62"/>
  <c r="B68"/>
  <c r="C68"/>
  <c r="D68"/>
  <c r="B72"/>
  <c r="C72"/>
  <c r="D72"/>
  <c r="B75"/>
  <c r="C75"/>
  <c r="D75"/>
  <c r="B78"/>
  <c r="C78"/>
  <c r="D78"/>
  <c r="B82"/>
  <c r="C82"/>
  <c r="D82"/>
  <c r="B85"/>
  <c r="C85"/>
  <c r="D85"/>
  <c r="B91"/>
  <c r="C91"/>
  <c r="D91"/>
  <c r="B95"/>
  <c r="C95"/>
  <c r="D95"/>
  <c r="B99"/>
  <c r="C99"/>
  <c r="D99"/>
  <c r="B102"/>
  <c r="C102"/>
  <c r="D102"/>
  <c r="B112"/>
  <c r="C112"/>
  <c r="D112"/>
  <c r="B115"/>
  <c r="C115"/>
  <c r="C114" s="1"/>
  <c r="D115"/>
  <c r="D114" s="1"/>
  <c r="B119"/>
  <c r="C119"/>
  <c r="D119"/>
  <c r="B122"/>
  <c r="C122"/>
  <c r="D122"/>
  <c r="B128"/>
  <c r="C128"/>
  <c r="D128"/>
  <c r="B131"/>
  <c r="C131"/>
  <c r="D131"/>
  <c r="B134"/>
  <c r="F134" s="1"/>
  <c r="C134"/>
  <c r="D134"/>
  <c r="B142"/>
  <c r="C142"/>
  <c r="D142"/>
  <c r="B144"/>
  <c r="C144"/>
  <c r="D144"/>
  <c r="B147"/>
  <c r="C147"/>
  <c r="D147"/>
  <c r="B151"/>
  <c r="F151" s="1"/>
  <c r="D151"/>
  <c r="B158"/>
  <c r="C158"/>
  <c r="D158"/>
  <c r="B161"/>
  <c r="C161"/>
  <c r="D161"/>
  <c r="B163"/>
  <c r="C163"/>
  <c r="D163"/>
  <c r="B166"/>
  <c r="C166"/>
  <c r="D166"/>
  <c r="B169"/>
  <c r="C169"/>
  <c r="D169"/>
  <c r="B172"/>
  <c r="C172"/>
  <c r="D172"/>
  <c r="B176"/>
  <c r="C176"/>
  <c r="D176"/>
  <c r="B179"/>
  <c r="C179"/>
  <c r="D179"/>
  <c r="B183"/>
  <c r="D183"/>
  <c r="B186"/>
  <c r="B195"/>
  <c r="C195"/>
  <c r="D195"/>
  <c r="B202"/>
  <c r="C202"/>
  <c r="D202"/>
  <c r="B207"/>
  <c r="B210"/>
  <c r="C210"/>
  <c r="D210"/>
  <c r="B218"/>
  <c r="F218" s="1"/>
  <c r="C218"/>
  <c r="D218"/>
  <c r="B226"/>
  <c r="C226"/>
  <c r="D226"/>
  <c r="B233"/>
  <c r="D233"/>
  <c r="B235"/>
  <c r="C235"/>
  <c r="D235"/>
  <c r="B238"/>
  <c r="C238"/>
  <c r="D238"/>
  <c r="B244"/>
  <c r="C244"/>
  <c r="F244" s="1"/>
  <c r="D244"/>
  <c r="B248"/>
  <c r="C248"/>
  <c r="D248"/>
  <c r="B254"/>
  <c r="C254"/>
  <c r="D254"/>
  <c r="B261"/>
  <c r="C261"/>
  <c r="D261"/>
  <c r="B264"/>
  <c r="C264"/>
  <c r="D264"/>
  <c r="B267"/>
  <c r="C267"/>
  <c r="D267"/>
  <c r="B270"/>
  <c r="C270"/>
  <c r="D270"/>
  <c r="B273"/>
  <c r="C273"/>
  <c r="D273"/>
  <c r="B276"/>
  <c r="C276"/>
  <c r="D276"/>
  <c r="B279"/>
  <c r="C279"/>
  <c r="D279"/>
  <c r="B282"/>
  <c r="C282"/>
  <c r="D282"/>
  <c r="B289"/>
  <c r="D289"/>
  <c r="B292"/>
  <c r="C292"/>
  <c r="D292"/>
  <c r="B295"/>
  <c r="C295"/>
  <c r="D295"/>
  <c r="B299"/>
  <c r="F299" s="1"/>
  <c r="C299"/>
  <c r="D299"/>
  <c r="B312"/>
  <c r="C312"/>
  <c r="D312"/>
  <c r="B314"/>
  <c r="F314" s="1"/>
  <c r="C314"/>
  <c r="D314"/>
  <c r="B318"/>
  <c r="F318" s="1"/>
  <c r="D318"/>
  <c r="B323"/>
  <c r="C323"/>
  <c r="D323"/>
  <c r="E323" s="1"/>
  <c r="G324"/>
  <c r="B326"/>
  <c r="C326"/>
  <c r="D326"/>
  <c r="B328"/>
  <c r="C328"/>
  <c r="D328"/>
  <c r="B330"/>
  <c r="C330"/>
  <c r="D330"/>
  <c r="B333"/>
  <c r="C333"/>
  <c r="D333"/>
  <c r="B336"/>
  <c r="C336"/>
  <c r="D336"/>
  <c r="B339"/>
  <c r="C339"/>
  <c r="D339"/>
  <c r="B341"/>
  <c r="C341"/>
  <c r="D341"/>
  <c r="B346"/>
  <c r="F346" s="1"/>
  <c r="C346"/>
  <c r="D346"/>
  <c r="B354"/>
  <c r="C354"/>
  <c r="D354"/>
  <c r="E354" s="1"/>
  <c r="B359"/>
  <c r="C359"/>
  <c r="D359"/>
  <c r="B361"/>
  <c r="D361"/>
  <c r="B364"/>
  <c r="D364"/>
  <c r="B368"/>
  <c r="C368"/>
  <c r="D368"/>
  <c r="B370"/>
  <c r="F370" s="1"/>
  <c r="C370"/>
  <c r="D370"/>
  <c r="E370" s="1"/>
  <c r="B373"/>
  <c r="C373"/>
  <c r="D373"/>
  <c r="B375"/>
  <c r="C375"/>
  <c r="D375"/>
  <c r="B377"/>
  <c r="B380"/>
  <c r="C380"/>
  <c r="D380"/>
  <c r="B402"/>
  <c r="F402" s="1"/>
  <c r="C402"/>
  <c r="D402"/>
  <c r="B422"/>
  <c r="F422" s="1"/>
  <c r="C422"/>
  <c r="D422"/>
  <c r="E422" s="1"/>
  <c r="B440"/>
  <c r="E440" s="1"/>
  <c r="C440"/>
  <c r="B447"/>
  <c r="C447"/>
  <c r="D447"/>
  <c r="B452"/>
  <c r="C452"/>
  <c r="D452"/>
  <c r="B459"/>
  <c r="C459"/>
  <c r="D459"/>
  <c r="B466"/>
  <c r="C466"/>
  <c r="D466"/>
  <c r="B468"/>
  <c r="C468"/>
  <c r="D468"/>
  <c r="B471"/>
  <c r="F471" s="1"/>
  <c r="C471"/>
  <c r="D471"/>
  <c r="B479"/>
  <c r="C479"/>
  <c r="D479"/>
  <c r="B481"/>
  <c r="C481"/>
  <c r="D481"/>
  <c r="B483"/>
  <c r="C483"/>
  <c r="D483"/>
  <c r="B486"/>
  <c r="D486"/>
  <c r="B491"/>
  <c r="C491"/>
  <c r="D491"/>
  <c r="B495"/>
  <c r="C495"/>
  <c r="D495"/>
  <c r="E495" s="1"/>
  <c r="B498"/>
  <c r="D498"/>
  <c r="B501"/>
  <c r="C501"/>
  <c r="D501"/>
  <c r="B505"/>
  <c r="C505"/>
  <c r="D505"/>
  <c r="B508"/>
  <c r="C508"/>
  <c r="D508"/>
  <c r="B518"/>
  <c r="C518"/>
  <c r="D518"/>
  <c r="B520"/>
  <c r="C520"/>
  <c r="D520"/>
  <c r="B525"/>
  <c r="C525"/>
  <c r="D525"/>
  <c r="B530"/>
  <c r="F530" s="1"/>
  <c r="C530"/>
  <c r="D530"/>
  <c r="B532"/>
  <c r="C532"/>
  <c r="D532"/>
  <c r="B535"/>
  <c r="C535"/>
  <c r="D535"/>
  <c r="B542"/>
  <c r="C542"/>
  <c r="D542"/>
  <c r="B552"/>
  <c r="C552"/>
  <c r="D552"/>
  <c r="B555"/>
  <c r="C555"/>
  <c r="D555"/>
  <c r="B559"/>
  <c r="C559"/>
  <c r="D559"/>
  <c r="B564"/>
  <c r="C564"/>
  <c r="D564"/>
  <c r="D566"/>
  <c r="B566"/>
  <c r="F566" s="1"/>
  <c r="C568"/>
  <c r="C566" s="1"/>
  <c r="B572"/>
  <c r="B571" s="1"/>
  <c r="B570" s="1"/>
  <c r="C572"/>
  <c r="C571" s="1"/>
  <c r="C570" s="1"/>
  <c r="D572"/>
  <c r="D571" s="1"/>
  <c r="B575"/>
  <c r="B574" s="1"/>
  <c r="C575"/>
  <c r="C574" s="1"/>
  <c r="D575"/>
  <c r="D574" s="1"/>
  <c r="D5" i="23"/>
  <c r="D14" s="1"/>
  <c r="B5" i="27"/>
  <c r="F5" s="1"/>
  <c r="C5"/>
  <c r="D5"/>
  <c r="C10"/>
  <c r="D10"/>
  <c r="B10"/>
  <c r="B44"/>
  <c r="F44" s="1"/>
  <c r="C44"/>
  <c r="D44"/>
  <c r="C5" i="30"/>
  <c r="D5"/>
  <c r="D7" i="20"/>
  <c r="D8"/>
  <c r="E8" s="1"/>
  <c r="B6"/>
  <c r="C9"/>
  <c r="C6" s="1"/>
  <c r="D9"/>
  <c r="E9" s="1"/>
  <c r="D10"/>
  <c r="E10" s="1"/>
  <c r="D11"/>
  <c r="E11" s="1"/>
  <c r="F10" i="27" l="1"/>
  <c r="G42" i="31"/>
  <c r="I42" s="1"/>
  <c r="E5"/>
  <c r="G11"/>
  <c r="I11" s="1"/>
  <c r="G6"/>
  <c r="I6" s="1"/>
  <c r="D21"/>
  <c r="F21" s="1"/>
  <c r="H21" s="1"/>
  <c r="F11"/>
  <c r="H11" s="1"/>
  <c r="F6"/>
  <c r="H6" s="1"/>
  <c r="C5"/>
  <c r="G5" s="1"/>
  <c r="I5" s="1"/>
  <c r="B5"/>
  <c r="F552" i="15"/>
  <c r="F452"/>
  <c r="F380"/>
  <c r="F373"/>
  <c r="F226"/>
  <c r="F21"/>
  <c r="E364"/>
  <c r="E276"/>
  <c r="D185"/>
  <c r="E185" s="1"/>
  <c r="E82"/>
  <c r="E566"/>
  <c r="E552"/>
  <c r="E530"/>
  <c r="E488"/>
  <c r="E452"/>
  <c r="F440"/>
  <c r="E402"/>
  <c r="E380"/>
  <c r="E373"/>
  <c r="F364"/>
  <c r="E346"/>
  <c r="E318"/>
  <c r="E314"/>
  <c r="E303"/>
  <c r="E299"/>
  <c r="F276"/>
  <c r="E226"/>
  <c r="E218"/>
  <c r="E151"/>
  <c r="E134"/>
  <c r="F82"/>
  <c r="E21"/>
  <c r="D4" i="27"/>
  <c r="E44"/>
  <c r="E10"/>
  <c r="E5"/>
  <c r="F14" i="23"/>
  <c r="C500" i="15"/>
  <c r="C185"/>
  <c r="D534"/>
  <c r="B534"/>
  <c r="C524"/>
  <c r="D507"/>
  <c r="B507"/>
  <c r="C544"/>
  <c r="C534"/>
  <c r="D524"/>
  <c r="B524"/>
  <c r="C507"/>
  <c r="D500"/>
  <c r="B500"/>
  <c r="B485"/>
  <c r="D470"/>
  <c r="B470"/>
  <c r="C379"/>
  <c r="C363"/>
  <c r="C335"/>
  <c r="D291"/>
  <c r="B291"/>
  <c r="D209"/>
  <c r="B209"/>
  <c r="C171"/>
  <c r="D146"/>
  <c r="C146"/>
  <c r="D544"/>
  <c r="B544"/>
  <c r="C485"/>
  <c r="D485"/>
  <c r="C470"/>
  <c r="D379"/>
  <c r="B379"/>
  <c r="D363"/>
  <c r="B363"/>
  <c r="D335"/>
  <c r="B335"/>
  <c r="C291"/>
  <c r="C209"/>
  <c r="D171"/>
  <c r="D118"/>
  <c r="C6"/>
  <c r="D6"/>
  <c r="B185"/>
  <c r="B171"/>
  <c r="B146"/>
  <c r="B118"/>
  <c r="C118"/>
  <c r="B114"/>
  <c r="B6"/>
  <c r="F6" i="26"/>
  <c r="C5"/>
  <c r="E22"/>
  <c r="D570" i="15"/>
  <c r="E21" i="26"/>
  <c r="F21"/>
  <c r="B4" i="27"/>
  <c r="D5" i="26"/>
  <c r="B5"/>
  <c r="D6" i="20"/>
  <c r="E6" s="1"/>
  <c r="C4" i="27"/>
  <c r="F22" i="26"/>
  <c r="E6"/>
  <c r="D5" i="31" l="1"/>
  <c r="F5" s="1"/>
  <c r="H5" s="1"/>
  <c r="F544" i="15"/>
  <c r="E544"/>
  <c r="F524"/>
  <c r="E524"/>
  <c r="F485"/>
  <c r="E485"/>
  <c r="F470"/>
  <c r="E470"/>
  <c r="F379"/>
  <c r="E379"/>
  <c r="F363"/>
  <c r="E363"/>
  <c r="E335"/>
  <c r="F335"/>
  <c r="F291"/>
  <c r="E291"/>
  <c r="F209"/>
  <c r="E209"/>
  <c r="F146"/>
  <c r="E146"/>
  <c r="F118"/>
  <c r="E118"/>
  <c r="F6"/>
  <c r="E6"/>
  <c r="E4" i="27"/>
  <c r="F4"/>
  <c r="C5" i="15"/>
  <c r="D5"/>
  <c r="B5"/>
  <c r="E5" i="26"/>
  <c r="F5"/>
  <c r="F5" i="15" l="1"/>
  <c r="E5"/>
</calcChain>
</file>

<file path=xl/sharedStrings.xml><?xml version="1.0" encoding="utf-8"?>
<sst xmlns="http://schemas.openxmlformats.org/spreadsheetml/2006/main" count="813" uniqueCount="696">
  <si>
    <t>(分税口径）</t>
  </si>
  <si>
    <t>单位：万元</t>
  </si>
  <si>
    <t>项       目</t>
  </si>
  <si>
    <t>增减%</t>
  </si>
  <si>
    <t>一般公共政预算收入合计</t>
  </si>
  <si>
    <t>一、税收收入</t>
  </si>
  <si>
    <t>1.增值税（50%部分）</t>
  </si>
  <si>
    <t>2.企业所得税（40%部分）</t>
  </si>
  <si>
    <t>3.个人所得税（40%部分）</t>
  </si>
  <si>
    <t>4.资源税</t>
  </si>
  <si>
    <t>5.城市维护建设税</t>
  </si>
  <si>
    <t>6.房产税</t>
  </si>
  <si>
    <t>7.印花税</t>
  </si>
  <si>
    <t>8.城镇土地使用税</t>
  </si>
  <si>
    <t>9.土地增值税</t>
  </si>
  <si>
    <r>
      <t>1</t>
    </r>
    <r>
      <rPr>
        <sz val="10"/>
        <rFont val="宋体"/>
        <charset val="134"/>
      </rPr>
      <t>0</t>
    </r>
    <r>
      <rPr>
        <sz val="10"/>
        <rFont val="宋体"/>
        <charset val="134"/>
      </rPr>
      <t>.车船税</t>
    </r>
  </si>
  <si>
    <r>
      <t>1</t>
    </r>
    <r>
      <rPr>
        <sz val="10"/>
        <rFont val="宋体"/>
        <charset val="134"/>
      </rPr>
      <t>1</t>
    </r>
    <r>
      <rPr>
        <sz val="10"/>
        <rFont val="宋体"/>
        <charset val="134"/>
      </rPr>
      <t>.耕地占用税</t>
    </r>
  </si>
  <si>
    <r>
      <t>1</t>
    </r>
    <r>
      <rPr>
        <sz val="10"/>
        <rFont val="宋体"/>
        <charset val="134"/>
      </rPr>
      <t>2</t>
    </r>
    <r>
      <rPr>
        <sz val="10"/>
        <rFont val="宋体"/>
        <charset val="134"/>
      </rPr>
      <t>.契税</t>
    </r>
  </si>
  <si>
    <r>
      <t xml:space="preserve"> 13</t>
    </r>
    <r>
      <rPr>
        <sz val="10"/>
        <rFont val="宋体"/>
        <charset val="134"/>
      </rPr>
      <t>.环保税（</t>
    </r>
    <r>
      <rPr>
        <sz val="10"/>
        <rFont val="宋体"/>
        <charset val="134"/>
      </rPr>
      <t>80%）</t>
    </r>
  </si>
  <si>
    <t xml:space="preserve"> 14.其他税收</t>
  </si>
  <si>
    <t>二、非税收入</t>
  </si>
  <si>
    <t>1.专项收入</t>
  </si>
  <si>
    <t xml:space="preserve">    其中：教育费附加收入</t>
  </si>
  <si>
    <r>
      <t xml:space="preserve">           </t>
    </r>
    <r>
      <rPr>
        <sz val="10"/>
        <rFont val="宋体"/>
        <charset val="134"/>
      </rPr>
      <t>地方教育附加收入</t>
    </r>
  </si>
  <si>
    <t xml:space="preserve">         其他专项收入</t>
  </si>
  <si>
    <t>2.行政性收费收入</t>
  </si>
  <si>
    <t>3.罚没收入</t>
  </si>
  <si>
    <t>4.国有资源(资产)有偿使用收入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</si>
  <si>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.捐赠收入</t>
    </r>
  </si>
  <si>
    <t xml:space="preserve"> 6.其他收入</t>
  </si>
  <si>
    <t>预算科目</t>
  </si>
  <si>
    <t>一般公共预算支出合计</t>
  </si>
  <si>
    <t>（一）一般公共服务支出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</si>
  <si>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</si>
  <si>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</si>
  <si>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</si>
  <si>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</si>
  <si>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人大立法</t>
  </si>
  <si>
    <t xml:space="preserve">    人大监督</t>
  </si>
  <si>
    <t xml:space="preserve">    代表工作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</si>
  <si>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</si>
  <si>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</si>
  <si>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</si>
  <si>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</si>
  <si>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</si>
  <si>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 xml:space="preserve">    信访事务</t>
  </si>
  <si>
    <t xml:space="preserve">    事业运行</t>
  </si>
  <si>
    <t xml:space="preserve">  发展与改革事务</t>
  </si>
  <si>
    <t xml:space="preserve">    战略规划与实施</t>
  </si>
  <si>
    <t xml:space="preserve">    社会事业发展规划</t>
  </si>
  <si>
    <t xml:space="preserve">    其他发展与改革事务支出</t>
  </si>
  <si>
    <t xml:space="preserve">  统计信息事务</t>
  </si>
  <si>
    <t xml:space="preserve">    专项普查活动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</si>
  <si>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</si>
  <si>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</si>
  <si>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</si>
  <si>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</si>
  <si>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  代扣代收代征税款手续费</t>
  </si>
  <si>
    <t xml:space="preserve">    其他税收事务支出</t>
  </si>
  <si>
    <t xml:space="preserve">  审计事务</t>
  </si>
  <si>
    <t xml:space="preserve">    审计业务</t>
  </si>
  <si>
    <t xml:space="preserve">   其他审计事务支出</t>
  </si>
  <si>
    <t xml:space="preserve">  人力资源事务</t>
  </si>
  <si>
    <t xml:space="preserve">    公务员考核</t>
  </si>
  <si>
    <t xml:space="preserve">    其他人事事务支出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</si>
  <si>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</si>
  <si>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</si>
  <si>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</si>
  <si>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</si>
  <si>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</si>
  <si>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</si>
  <si>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</si>
  <si>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</si>
  <si>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</si>
  <si>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</si>
  <si>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</si>
  <si>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其他群团事务支出</t>
  </si>
  <si>
    <t xml:space="preserve">  党委办公厅（室）及相关机构事务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</si>
  <si>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</si>
  <si>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</si>
  <si>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</si>
  <si>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</si>
  <si>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统战事务</t>
  </si>
  <si>
    <t xml:space="preserve">    宗教事务</t>
  </si>
  <si>
    <t xml:space="preserve">  网信事务</t>
  </si>
  <si>
    <t xml:space="preserve">    其他网信事务支出</t>
  </si>
  <si>
    <t xml:space="preserve">  市场监督管理事务</t>
  </si>
  <si>
    <t xml:space="preserve">    机关服务</t>
  </si>
  <si>
    <t xml:space="preserve">    市场监督管理专项</t>
  </si>
  <si>
    <t xml:space="preserve">    市场监督管理技术支持</t>
  </si>
  <si>
    <t xml:space="preserve">    药品事务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</si>
  <si>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</si>
  <si>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</si>
  <si>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</si>
  <si>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</si>
  <si>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>（二）国防支出</t>
  </si>
  <si>
    <t xml:space="preserve">  国防动员</t>
  </si>
  <si>
    <t xml:space="preserve">    兵役征集</t>
  </si>
  <si>
    <t xml:space="preserve">    民兵</t>
  </si>
  <si>
    <t>（三）公共安全支出</t>
  </si>
  <si>
    <t xml:space="preserve">  武装警察</t>
  </si>
  <si>
    <t xml:space="preserve">    武装警察部队(项)</t>
  </si>
  <si>
    <t xml:space="preserve">    其他武装警察支出</t>
  </si>
  <si>
    <t xml:space="preserve">  公安</t>
  </si>
  <si>
    <t xml:space="preserve">    特别业务</t>
  </si>
  <si>
    <t xml:space="preserve">  检察</t>
  </si>
  <si>
    <t xml:space="preserve">    “两房”建设</t>
  </si>
  <si>
    <t xml:space="preserve">  法院</t>
  </si>
  <si>
    <t xml:space="preserve">  司法</t>
  </si>
  <si>
    <t xml:space="preserve">    基层司法业务</t>
  </si>
  <si>
    <t xml:space="preserve">    律师公证管理</t>
  </si>
  <si>
    <t xml:space="preserve">    法律援助</t>
  </si>
  <si>
    <t xml:space="preserve">  监狱</t>
  </si>
  <si>
    <t xml:space="preserve">    狱政设施建设</t>
  </si>
  <si>
    <t xml:space="preserve"> 其他公共安全支出（款）</t>
  </si>
  <si>
    <t xml:space="preserve">    其他公共安全支出</t>
  </si>
  <si>
    <t>（四）教育支出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</si>
  <si>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</si>
  <si>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</si>
  <si>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</si>
  <si>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</si>
  <si>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</si>
  <si>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</si>
  <si>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</si>
  <si>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</si>
  <si>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</si>
  <si>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中专教育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</si>
  <si>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</si>
  <si>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</si>
  <si>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</si>
  <si>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</si>
  <si>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</si>
  <si>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</si>
  <si>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</si>
  <si>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其他教育费附加安排的支出</t>
  </si>
  <si>
    <t xml:space="preserve">  其他教育支出</t>
  </si>
  <si>
    <t xml:space="preserve">    其他教育支出</t>
  </si>
  <si>
    <t>（五）科学技术支出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</si>
  <si>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</si>
  <si>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</si>
  <si>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</si>
  <si>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</si>
  <si>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</si>
  <si>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科学技术普及</t>
  </si>
  <si>
    <t xml:space="preserve">    机构运行</t>
  </si>
  <si>
    <t xml:space="preserve">    科普活动</t>
  </si>
  <si>
    <t xml:space="preserve">    其他科学技术普及支出</t>
  </si>
  <si>
    <t xml:space="preserve">  其他科学技术支出(款)</t>
  </si>
  <si>
    <t xml:space="preserve">   其他科学技术支出(项)</t>
  </si>
  <si>
    <t xml:space="preserve">（六）文化旅游体育与传媒支出
</t>
  </si>
  <si>
    <t xml:space="preserve">  文化和旅游</t>
  </si>
  <si>
    <t xml:space="preserve">    图书馆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</si>
  <si>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</si>
  <si>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</si>
  <si>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</si>
  <si>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</si>
  <si>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</si>
  <si>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</si>
  <si>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</si>
  <si>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</si>
  <si>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</si>
  <si>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群众体育</t>
  </si>
  <si>
    <t xml:space="preserve">  广播电视</t>
  </si>
  <si>
    <t xml:space="preserve">    其他广播电视支出</t>
  </si>
  <si>
    <t xml:space="preserve">  其他文化体育与传媒支出(款)</t>
  </si>
  <si>
    <t xml:space="preserve">    其他文化体育与传媒支出(项)</t>
  </si>
  <si>
    <t>（七）社会保障和就业支出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</si>
  <si>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</si>
  <si>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</si>
  <si>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</si>
  <si>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</si>
  <si>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</si>
  <si>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</si>
  <si>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</si>
  <si>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</si>
  <si>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</si>
  <si>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行政区划和社区建设</t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</si>
  <si>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</si>
  <si>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</si>
  <si>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</si>
  <si>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</si>
  <si>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</si>
  <si>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</si>
  <si>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</si>
  <si>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</si>
  <si>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</si>
  <si>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</si>
  <si>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就业补助</t>
  </si>
  <si>
    <t xml:space="preserve">    公益性岗位补贴</t>
  </si>
  <si>
    <t xml:space="preserve">    小额担保贷款贴息</t>
  </si>
  <si>
    <t xml:space="preserve">  抚恤</t>
  </si>
  <si>
    <t xml:space="preserve">    死亡抚恤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</si>
  <si>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</si>
  <si>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</si>
  <si>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</si>
  <si>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</si>
  <si>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</si>
  <si>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</si>
  <si>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</si>
  <si>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</si>
  <si>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</si>
  <si>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</si>
  <si>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</si>
  <si>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</si>
  <si>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</si>
  <si>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</si>
  <si>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</si>
  <si>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</si>
  <si>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</si>
  <si>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</si>
  <si>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中央自然灾害生活补助</t>
  </si>
  <si>
    <t xml:space="preserve">  红十字事业</t>
  </si>
  <si>
    <t xml:space="preserve">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</si>
  <si>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</si>
  <si>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</si>
  <si>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</si>
  <si>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</si>
  <si>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</si>
  <si>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</si>
  <si>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</si>
  <si>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</si>
  <si>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</si>
  <si>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 其他农村生活救助</t>
  </si>
  <si>
    <t xml:space="preserve">  财政对基本养老保险基金的补助</t>
  </si>
  <si>
    <t xml:space="preserve">     财政对企业职工基本养老保险基金的补助</t>
  </si>
  <si>
    <t xml:space="preserve">     财政对城乡居民基本养老保险基金的补助</t>
  </si>
  <si>
    <t xml:space="preserve">  退役军人管理事务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</si>
  <si>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</si>
  <si>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</si>
  <si>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</si>
  <si>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</si>
  <si>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 xml:space="preserve">（八）卫生健康支出
</t>
  </si>
  <si>
    <t xml:space="preserve">  卫生健康管理事务</t>
  </si>
  <si>
    <t xml:space="preserve">  公立医院</t>
  </si>
  <si>
    <t xml:space="preserve">    综合医院</t>
  </si>
  <si>
    <t xml:space="preserve">    中医（民族）医院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</si>
  <si>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</si>
  <si>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</si>
  <si>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</si>
  <si>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</si>
  <si>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</si>
  <si>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</si>
  <si>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</si>
  <si>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</si>
  <si>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</si>
  <si>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</si>
  <si>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</si>
  <si>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</si>
  <si>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</si>
  <si>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
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</si>
  <si>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</si>
  <si>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</si>
  <si>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</si>
  <si>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</si>
  <si>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</si>
  <si>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</si>
  <si>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</si>
  <si>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</si>
  <si>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</si>
  <si>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</si>
  <si>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</si>
  <si>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</si>
  <si>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</si>
  <si>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</si>
  <si>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</si>
  <si>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</si>
  <si>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</si>
  <si>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</si>
  <si>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</si>
  <si>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其他卫生健康支出(款)</t>
  </si>
  <si>
    <t xml:space="preserve">    其他卫生健康支出(项)</t>
  </si>
  <si>
    <t>（九）节能环保支出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</si>
  <si>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</si>
  <si>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</si>
  <si>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</si>
  <si>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</si>
  <si>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</si>
  <si>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</si>
  <si>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</si>
  <si>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</si>
  <si>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</si>
  <si>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</si>
  <si>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</si>
  <si>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</si>
  <si>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湖泊生态环境保护</t>
  </si>
  <si>
    <t xml:space="preserve">  天然林保护</t>
  </si>
  <si>
    <t xml:space="preserve">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</si>
  <si>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</si>
  <si>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</si>
  <si>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</si>
  <si>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退耕还林工程建设</t>
  </si>
  <si>
    <t xml:space="preserve">    其他退耕还林支出</t>
  </si>
  <si>
    <t xml:space="preserve">  循环经济(款)</t>
  </si>
  <si>
    <t xml:space="preserve">    循环经济(项)</t>
  </si>
  <si>
    <t xml:space="preserve">  江河湖库流域治理与保护</t>
  </si>
  <si>
    <t xml:space="preserve">    湖库生态环境保护</t>
  </si>
  <si>
    <t>（十）城乡社区支出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</si>
  <si>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</si>
  <si>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</si>
  <si>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</si>
  <si>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</si>
  <si>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</si>
  <si>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</si>
  <si>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</si>
  <si>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</si>
  <si>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</si>
  <si>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</si>
  <si>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</si>
  <si>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</si>
  <si>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其他城乡社区支出(款)</t>
  </si>
  <si>
    <t xml:space="preserve">    其他城乡社区支出(项)</t>
  </si>
  <si>
    <t>（十一）农林水支出</t>
  </si>
  <si>
    <t xml:space="preserve">  农业</t>
  </si>
  <si>
    <t xml:space="preserve">   一般行政管理事务（农业）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</si>
  <si>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</si>
  <si>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</si>
  <si>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</si>
  <si>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</si>
  <si>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</si>
  <si>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</si>
  <si>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防灾救灾</t>
  </si>
  <si>
    <t xml:space="preserve">    稳定农民收入补贴</t>
  </si>
  <si>
    <t xml:space="preserve">    农业生产发展</t>
  </si>
  <si>
    <t xml:space="preserve">    农产品加工与促销</t>
  </si>
  <si>
    <t xml:space="preserve">    农业资源保护修复与利用</t>
  </si>
  <si>
    <t xml:space="preserve">    农村道路建设</t>
  </si>
  <si>
    <t xml:space="preserve">    其他农业支出</t>
  </si>
  <si>
    <t xml:space="preserve">  林业</t>
  </si>
  <si>
    <t xml:space="preserve">    事业机构</t>
  </si>
  <si>
    <t xml:space="preserve">    森林资源培育</t>
  </si>
  <si>
    <t xml:space="preserve">    林业技术推广</t>
  </si>
  <si>
    <t xml:space="preserve">    自然保护区等管理</t>
  </si>
  <si>
    <t xml:space="preserve">    动植物保护</t>
  </si>
  <si>
    <t xml:space="preserve">    林业检疫检测</t>
  </si>
  <si>
    <t xml:space="preserve">    产业化管理</t>
  </si>
  <si>
    <t xml:space="preserve">    林区公共支出</t>
  </si>
  <si>
    <t xml:space="preserve">    森林保险保费补贴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</si>
  <si>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</si>
  <si>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</si>
  <si>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</si>
  <si>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</si>
  <si>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</si>
  <si>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</si>
  <si>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</si>
  <si>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水利执法监督</t>
  </si>
  <si>
    <t xml:space="preserve">    水土保持</t>
  </si>
  <si>
    <t xml:space="preserve">    水资源节约管理与保护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</si>
  <si>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</si>
  <si>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</si>
  <si>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</si>
  <si>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</si>
  <si>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江河湖库水系综合整治</t>
  </si>
  <si>
    <t xml:space="preserve">    大中型水库移民后欺扶持专项支出</t>
  </si>
  <si>
    <t xml:space="preserve">    水资源费安排的支出</t>
  </si>
  <si>
    <t xml:space="preserve">    农村人畜饮水</t>
  </si>
  <si>
    <t xml:space="preserve">    其他水利支出</t>
  </si>
  <si>
    <t xml:space="preserve">  扶贫</t>
  </si>
  <si>
    <t xml:space="preserve">    社会发展</t>
  </si>
  <si>
    <t xml:space="preserve">  农业综合开发</t>
  </si>
  <si>
    <t xml:space="preserve">    产业化发展</t>
  </si>
  <si>
    <t xml:space="preserve">  农村综合改革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</si>
  <si>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</si>
  <si>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</si>
  <si>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</si>
  <si>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促进金融支农支出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</si>
  <si>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</si>
  <si>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</si>
  <si>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</si>
  <si>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</si>
  <si>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</si>
  <si>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  其他金融支农支持</t>
  </si>
  <si>
    <t xml:space="preserve">   目标价格补贴</t>
  </si>
  <si>
    <t xml:space="preserve">  其他农林水支出</t>
  </si>
  <si>
    <t xml:space="preserve">    其他农林水支出</t>
  </si>
  <si>
    <t>（十二）交通运输支出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</si>
  <si>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</si>
  <si>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</si>
  <si>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</si>
  <si>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</si>
  <si>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公路改建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</si>
  <si>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</si>
  <si>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</si>
  <si>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</si>
  <si>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</si>
  <si>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车辆购置税用于农村公路建设支出</t>
  </si>
  <si>
    <t xml:space="preserve">   其他交通运输支出（款）</t>
  </si>
  <si>
    <t xml:space="preserve">    其他交通运输支出（项）</t>
  </si>
  <si>
    <t xml:space="preserve">  制造业</t>
  </si>
  <si>
    <t xml:space="preserve">    其他制造业支出</t>
  </si>
  <si>
    <t xml:space="preserve">  工业和信息产业监管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</si>
  <si>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</si>
  <si>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</si>
  <si>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</si>
  <si>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</si>
  <si>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</si>
  <si>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</si>
  <si>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</si>
  <si>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</si>
  <si>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>（十四）商业服务业等支出</t>
  </si>
  <si>
    <t xml:space="preserve">  商业流通事务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</si>
  <si>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</si>
  <si>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</si>
  <si>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</si>
  <si>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其他涉外发展服务支出</t>
  </si>
  <si>
    <t>（十五）自然资源海洋气象等支出</t>
  </si>
  <si>
    <t xml:space="preserve">  自然资源事务</t>
  </si>
  <si>
    <t xml:space="preserve">    自然资源规划及管理</t>
  </si>
  <si>
    <t xml:space="preserve">    土地资源储备支出</t>
  </si>
  <si>
    <t xml:space="preserve">    其他自然资源事务支出</t>
  </si>
  <si>
    <t xml:space="preserve">  海洋管理事务</t>
  </si>
  <si>
    <t xml:space="preserve">    海域使用金支出</t>
  </si>
  <si>
    <t xml:space="preserve">  气象事务</t>
  </si>
  <si>
    <t xml:space="preserve">    气象事业机构</t>
  </si>
  <si>
    <t xml:space="preserve">    气象服务</t>
  </si>
  <si>
    <t>（十六）住房保障支出</t>
  </si>
  <si>
    <t xml:space="preserve">  保障性安居工程支出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</si>
  <si>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</si>
  <si>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</si>
  <si>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</si>
  <si>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</si>
  <si>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</si>
  <si>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</si>
  <si>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（十七）粮油物资储备支出</t>
  </si>
  <si>
    <t xml:space="preserve">  粮油事务</t>
  </si>
  <si>
    <t xml:space="preserve">    粮食专项业务活动</t>
  </si>
  <si>
    <t xml:space="preserve">    粮食财务挂账利息补贴</t>
  </si>
  <si>
    <t xml:space="preserve">    其他粮油事务支出</t>
  </si>
  <si>
    <t xml:space="preserve">  粮油储备</t>
  </si>
  <si>
    <t xml:space="preserve">    储备粮(油)库建设</t>
  </si>
  <si>
    <t>（十八）灾害防治及应急管理支出</t>
  </si>
  <si>
    <t xml:space="preserve">  应急管理事务</t>
  </si>
  <si>
    <t xml:space="preserve">    安全监管</t>
  </si>
  <si>
    <t xml:space="preserve">    应急救援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</si>
  <si>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</si>
  <si>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</si>
  <si>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</si>
  <si>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</si>
  <si>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  自然灾害救灾补助</t>
  </si>
  <si>
    <t xml:space="preserve">  其他灾害防治及应急管理支出</t>
  </si>
  <si>
    <t>（十九）预备费</t>
  </si>
  <si>
    <t xml:space="preserve">  预备费</t>
  </si>
  <si>
    <t>（二十）其他支出(类)</t>
  </si>
  <si>
    <t xml:space="preserve">  年初预留</t>
  </si>
  <si>
    <t xml:space="preserve">  其他支出(款)</t>
  </si>
  <si>
    <t xml:space="preserve">    其他支出(项)</t>
  </si>
  <si>
    <t>（二十一）债务付息支出</t>
  </si>
  <si>
    <t xml:space="preserve">  地方政府债务付息支出</t>
  </si>
  <si>
    <t xml:space="preserve">    一般债务付息支出</t>
  </si>
  <si>
    <t xml:space="preserve">      地方政府一般债券付息支出</t>
  </si>
  <si>
    <t>（二十二）债务发行费用支出</t>
  </si>
  <si>
    <t xml:space="preserve">  地方政府债务发行费用支出</t>
  </si>
  <si>
    <t xml:space="preserve">    一般债务发行费用支出</t>
  </si>
  <si>
    <t>单位:万元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</si>
  <si>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</si>
  <si>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</si>
  <si>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</si>
  <si>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</si>
  <si>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</si>
  <si>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</si>
  <si>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</si>
  <si>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</si>
  <si>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</si>
  <si>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</si>
  <si>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</si>
  <si>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</si>
  <si>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</si>
  <si>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</si>
  <si>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</si>
  <si>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</si>
  <si>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</si>
  <si>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</si>
  <si>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</si>
  <si>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</si>
  <si>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</si>
  <si>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</si>
  <si>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</si>
  <si>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</si>
  <si>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</si>
  <si>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</si>
  <si>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</si>
  <si>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</si>
  <si>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</si>
  <si>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</si>
  <si>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</si>
  <si>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</si>
  <si>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</si>
  <si>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</si>
  <si>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</si>
  <si>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</si>
  <si>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</si>
  <si>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</si>
  <si>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</si>
  <si>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</si>
  <si>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</si>
  <si>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</si>
  <si>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</si>
  <si>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</si>
  <si>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</si>
  <si>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</si>
  <si>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</si>
  <si>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</si>
  <si>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国内债务发行费用</t>
  </si>
  <si>
    <t>其他支出</t>
  </si>
  <si>
    <t xml:space="preserve">  其他支出</t>
  </si>
  <si>
    <r>
      <t>单位</t>
    </r>
    <r>
      <rPr>
        <sz val="10"/>
        <rFont val="Times New Roman"/>
        <family val="1"/>
      </rPr>
      <t>:</t>
    </r>
    <r>
      <rPr>
        <sz val="10"/>
        <rFont val="宋体"/>
        <charset val="134"/>
      </rPr>
      <t>万元</t>
    </r>
  </si>
  <si>
    <t>数额</t>
  </si>
  <si>
    <t>二、 转移性收入</t>
  </si>
  <si>
    <t>二、上解支出合计</t>
  </si>
  <si>
    <t>1、返还性收入</t>
  </si>
  <si>
    <t>1、体制上解</t>
  </si>
  <si>
    <t>2、一般性转移支付收入</t>
  </si>
  <si>
    <t>2、专项上解</t>
  </si>
  <si>
    <t>3、专项转移支付收入</t>
  </si>
  <si>
    <t>三、债务还本支出</t>
  </si>
  <si>
    <t>4、上年结余收入</t>
  </si>
  <si>
    <t>四、安排预算稳定调节基金</t>
  </si>
  <si>
    <t>5、调入资金</t>
  </si>
  <si>
    <t>五、年终结余</t>
  </si>
  <si>
    <t>6、债务转贷收入</t>
  </si>
  <si>
    <t xml:space="preserve">   结转下年的支出</t>
  </si>
  <si>
    <t>收入总计</t>
  </si>
  <si>
    <t>支出总计</t>
  </si>
  <si>
    <t>备注</t>
  </si>
  <si>
    <t>上级补助收入</t>
  </si>
  <si>
    <t xml:space="preserve">  返还性收入</t>
  </si>
  <si>
    <t xml:space="preserve">    增值税和消费税税收返还收入</t>
  </si>
  <si>
    <t xml:space="preserve">    所得税基数返还收入</t>
  </si>
  <si>
    <t xml:space="preserve">    增值税“五五分享”税收返还收入</t>
  </si>
  <si>
    <t xml:space="preserve">    其他税收返还收入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</si>
  <si>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</si>
  <si>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</si>
  <si>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</si>
  <si>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</si>
  <si>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</si>
  <si>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</si>
  <si>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</si>
  <si>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</si>
  <si>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</si>
  <si>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</si>
  <si>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</si>
  <si>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</si>
  <si>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</si>
  <si>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</si>
  <si>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</si>
  <si>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</si>
  <si>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</si>
  <si>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</si>
  <si>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</si>
  <si>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</si>
  <si>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</si>
  <si>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</si>
  <si>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</si>
  <si>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</si>
  <si>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</si>
  <si>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</si>
  <si>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</si>
  <si>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</si>
  <si>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</si>
  <si>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</si>
  <si>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</si>
  <si>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</si>
  <si>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</si>
  <si>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</si>
  <si>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</si>
  <si>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</si>
  <si>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</si>
  <si>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</si>
  <si>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</si>
  <si>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</si>
  <si>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</si>
  <si>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</si>
  <si>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</si>
  <si>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</si>
  <si>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</si>
  <si>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</si>
  <si>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</si>
  <si>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</si>
  <si>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</si>
  <si>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</si>
  <si>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>年度</t>
  </si>
  <si>
    <t>债务类型</t>
  </si>
  <si>
    <t>政府债务限额</t>
  </si>
  <si>
    <t>年末余额</t>
  </si>
  <si>
    <t>一般债务</t>
  </si>
  <si>
    <t>合  计</t>
  </si>
  <si>
    <t>项目</t>
  </si>
  <si>
    <t>增减额</t>
  </si>
  <si>
    <t>增长%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</si>
  <si>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</si>
  <si>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</si>
  <si>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</si>
  <si>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</si>
  <si>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</si>
  <si>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</si>
  <si>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 xml:space="preserve">    灾害防治及应急管理</t>
  </si>
  <si>
    <t>2020年决算</t>
  </si>
  <si>
    <r>
      <t xml:space="preserve"> </t>
    </r>
    <r>
      <rPr>
        <b/>
        <sz val="10"/>
        <rFont val="宋体"/>
        <family val="3"/>
        <charset val="134"/>
      </rPr>
      <t>一、一般公共预算收入合计</t>
    </r>
  </si>
  <si>
    <r>
      <t xml:space="preserve"> </t>
    </r>
    <r>
      <rPr>
        <b/>
        <sz val="10"/>
        <rFont val="宋体"/>
        <family val="3"/>
        <charset val="134"/>
      </rPr>
      <t>一、一般公共预算支出合计</t>
    </r>
  </si>
  <si>
    <t>2020年决算数</t>
  </si>
  <si>
    <t xml:space="preserve">    其他人大事务支出</t>
  </si>
  <si>
    <t xml:space="preserve">   其他公安支出</t>
  </si>
  <si>
    <t xml:space="preserve">    其他司法支出</t>
  </si>
  <si>
    <t xml:space="preserve">    其他教育管理事务支出</t>
  </si>
  <si>
    <t xml:space="preserve">    其他职业教育支出</t>
  </si>
  <si>
    <t xml:space="preserve">    其他残疾人事业支出</t>
  </si>
  <si>
    <t xml:space="preserve">  自然灾害生活补助</t>
  </si>
  <si>
    <t xml:space="preserve">    自然灾害灾后重建补助</t>
  </si>
  <si>
    <t xml:space="preserve">    流浪乞讨人员救助</t>
  </si>
  <si>
    <t xml:space="preserve">   停伐补助</t>
  </si>
  <si>
    <t xml:space="preserve">    农村合作经济</t>
  </si>
  <si>
    <t xml:space="preserve">    农资综合补贴</t>
  </si>
  <si>
    <t xml:space="preserve">    农田建设</t>
  </si>
  <si>
    <t xml:space="preserve">    森林资源管理</t>
  </si>
  <si>
    <t xml:space="preserve">    森林生态效益补偿</t>
  </si>
  <si>
    <t xml:space="preserve">    湿地保护</t>
  </si>
  <si>
    <t xml:space="preserve">    执法与监督</t>
  </si>
  <si>
    <t xml:space="preserve">    林业工程与项目管理</t>
  </si>
  <si>
    <t xml:space="preserve">    贷款贴息</t>
  </si>
  <si>
    <t xml:space="preserve">    农村基础设施建设</t>
  </si>
  <si>
    <t xml:space="preserve">    生产发展</t>
  </si>
  <si>
    <t xml:space="preserve">    其他扶贫支出</t>
  </si>
  <si>
    <t xml:space="preserve">    土地治理</t>
  </si>
  <si>
    <t xml:space="preserve">    其他农业综合开发支出</t>
  </si>
  <si>
    <t xml:space="preserve">    国有农场办社会职能改革补助</t>
  </si>
  <si>
    <t xml:space="preserve">    农村综合改革示范试点补助</t>
  </si>
  <si>
    <t xml:space="preserve">    棚户区改造</t>
  </si>
  <si>
    <t xml:space="preserve">    农村危房改造</t>
  </si>
  <si>
    <t>（十三）资源勘探工业信息等支出</t>
    <phoneticPr fontId="0" type="noConversion"/>
  </si>
  <si>
    <t xml:space="preserve">    文化旅游体育与传媒</t>
    <phoneticPr fontId="0" type="noConversion"/>
  </si>
  <si>
    <t xml:space="preserve">    资源勘探工业信息等</t>
    <phoneticPr fontId="0" type="noConversion"/>
  </si>
  <si>
    <t>2020年</t>
    <phoneticPr fontId="0" type="noConversion"/>
  </si>
  <si>
    <t>2021年</t>
    <phoneticPr fontId="0" type="noConversion"/>
  </si>
  <si>
    <t>2021年比2020年</t>
    <phoneticPr fontId="0" type="noConversion"/>
  </si>
  <si>
    <t>2020年收入决算数</t>
    <phoneticPr fontId="0" type="noConversion"/>
  </si>
  <si>
    <t>2021年收入决算数</t>
    <phoneticPr fontId="0" type="noConversion"/>
  </si>
  <si>
    <t>2021年决算比2020年决算增减%</t>
    <phoneticPr fontId="0" type="noConversion"/>
  </si>
  <si>
    <t>2021年决算完成预算%</t>
    <phoneticPr fontId="0" type="noConversion"/>
  </si>
  <si>
    <t>2021年收入预算数</t>
    <phoneticPr fontId="0" type="noConversion"/>
  </si>
  <si>
    <t>2021年决算数</t>
    <phoneticPr fontId="0" type="noConversion"/>
  </si>
  <si>
    <t xml:space="preserve">    执法办案</t>
    <phoneticPr fontId="0" type="noConversion"/>
  </si>
  <si>
    <t xml:space="preserve">    体育竞赛</t>
    <phoneticPr fontId="0" type="noConversion"/>
  </si>
  <si>
    <t xml:space="preserve">    传输发射</t>
    <phoneticPr fontId="0" type="noConversion"/>
  </si>
  <si>
    <t xml:space="preserve">    广播电视事务</t>
    <phoneticPr fontId="0" type="noConversion"/>
  </si>
  <si>
    <t xml:space="preserve">   天然林保护工程建设</t>
    <phoneticPr fontId="0" type="noConversion"/>
  </si>
  <si>
    <t xml:space="preserve">    对村级公益事业建设的补助</t>
    <phoneticPr fontId="0" type="noConversion"/>
  </si>
  <si>
    <t xml:space="preserve">    其他目标价格补贴</t>
    <phoneticPr fontId="0" type="noConversion"/>
  </si>
  <si>
    <t xml:space="preserve">    事业运行</t>
    <phoneticPr fontId="0" type="noConversion"/>
  </si>
  <si>
    <t xml:space="preserve">    自然资源利用与保护</t>
    <phoneticPr fontId="0" type="noConversion"/>
  </si>
  <si>
    <t xml:space="preserve">    自然资源调查与确权登记</t>
    <phoneticPr fontId="0" type="noConversion"/>
  </si>
  <si>
    <t xml:space="preserve">    地质矿产资源与环境调查</t>
    <phoneticPr fontId="0" type="noConversion"/>
  </si>
  <si>
    <t xml:space="preserve">    地质勘查与矿产资源管理</t>
    <phoneticPr fontId="0" type="noConversion"/>
  </si>
  <si>
    <t xml:space="preserve">    气象基础设施建设与维修</t>
    <phoneticPr fontId="0" type="noConversion"/>
  </si>
  <si>
    <t xml:space="preserve">    灾害风险防治</t>
    <phoneticPr fontId="0" type="noConversion"/>
  </si>
  <si>
    <t xml:space="preserve">  自然灾害救灾及恢复重建支出</t>
    <phoneticPr fontId="0" type="noConversion"/>
  </si>
  <si>
    <t xml:space="preserve">  自然灾害防治</t>
    <phoneticPr fontId="0" type="noConversion"/>
  </si>
  <si>
    <t xml:space="preserve">    地质灾害防治</t>
  </si>
  <si>
    <t xml:space="preserve">    森林草原防灾减灾</t>
  </si>
  <si>
    <t xml:space="preserve">    其他自然灾害防治支出</t>
  </si>
  <si>
    <t xml:space="preserve">    其他自然灾害救灾及恢复重建支出</t>
  </si>
  <si>
    <t>2021年预算数</t>
    <phoneticPr fontId="0" type="noConversion"/>
  </si>
  <si>
    <t xml:space="preserve">    基层政权建设和社区治理</t>
    <phoneticPr fontId="0" type="noConversion"/>
  </si>
  <si>
    <t>2021年决算数比2020年决算数增减%</t>
    <phoneticPr fontId="0" type="noConversion"/>
  </si>
  <si>
    <t>2021年决算完成预算%</t>
    <phoneticPr fontId="0" type="noConversion"/>
  </si>
  <si>
    <t>7、动用预算稳定调节基金</t>
    <phoneticPr fontId="0" type="noConversion"/>
  </si>
  <si>
    <t>2021年决算</t>
    <phoneticPr fontId="0" type="noConversion"/>
  </si>
  <si>
    <t xml:space="preserve">    医疗卫生共同财政事权转移支付收入  </t>
    <phoneticPr fontId="0" type="noConversion"/>
  </si>
  <si>
    <t xml:space="preserve">    灾害防治及应急管理共同财政事权转移支付收入</t>
    <phoneticPr fontId="0" type="noConversion"/>
  </si>
  <si>
    <t>2021年预算</t>
    <phoneticPr fontId="0" type="noConversion"/>
  </si>
  <si>
    <t xml:space="preserve">    卫生健康</t>
    <phoneticPr fontId="0" type="noConversion"/>
  </si>
  <si>
    <t>2021年决算比2020年决算增减%</t>
    <phoneticPr fontId="0" type="noConversion"/>
  </si>
  <si>
    <r>
      <t xml:space="preserve">        </t>
    </r>
    <r>
      <rPr>
        <sz val="18"/>
        <rFont val="宋体"/>
        <family val="3"/>
        <charset val="134"/>
      </rPr>
      <t xml:space="preserve"> 2021年新宾县本级政府一般公共预算决算公开目录</t>
    </r>
    <phoneticPr fontId="0" type="noConversion"/>
  </si>
  <si>
    <t>2.2021年新宾县本级一般公共预算支出决算表</t>
    <phoneticPr fontId="0" type="noConversion"/>
  </si>
  <si>
    <t>3.2021年新宾县本级一般公共预算基本支出按经济分类决算表</t>
    <phoneticPr fontId="0" type="noConversion"/>
  </si>
  <si>
    <t>4.2021年新宾县本级一般公共预算收支平衡决算表</t>
    <phoneticPr fontId="0" type="noConversion"/>
  </si>
  <si>
    <t>5.2021年新宾县本级一般公共预算转移支付决算表</t>
    <phoneticPr fontId="0" type="noConversion"/>
  </si>
  <si>
    <t>6.2021年新宾县本级政府一般债务限额及余额明细表</t>
    <phoneticPr fontId="0" type="noConversion"/>
  </si>
  <si>
    <t>7.2021年新宾县本级“三公”经费决算汇总表</t>
    <phoneticPr fontId="0" type="noConversion"/>
  </si>
  <si>
    <t>8.2021年新宾县本级一般公共预算有关情况说明</t>
    <phoneticPr fontId="0" type="noConversion"/>
  </si>
  <si>
    <t>9.2021年新宾县本级“三公”经费决算汇总情况说明</t>
    <phoneticPr fontId="0" type="noConversion"/>
  </si>
  <si>
    <t>10.2021年新宾县本级决算转移支付情况说明</t>
    <phoneticPr fontId="0" type="noConversion"/>
  </si>
  <si>
    <t>11.2021年新宾县本级决算报告及附表</t>
    <phoneticPr fontId="0" type="noConversion"/>
  </si>
  <si>
    <t>12.2021年新宾县本级政府债务情况说明</t>
    <phoneticPr fontId="0" type="noConversion"/>
  </si>
  <si>
    <t>2021年新宾县本级一般公共预算收入决算表</t>
    <phoneticPr fontId="0" type="noConversion"/>
  </si>
  <si>
    <t xml:space="preserve">    农业结构调整补贴</t>
    <phoneticPr fontId="0" type="noConversion"/>
  </si>
  <si>
    <t xml:space="preserve">    农村社会事业</t>
    <phoneticPr fontId="0" type="noConversion"/>
  </si>
  <si>
    <t>2021年新宾县本级一般公共预算支出经济分类表</t>
    <phoneticPr fontId="0" type="noConversion"/>
  </si>
  <si>
    <t>2021年决算数</t>
  </si>
  <si>
    <t>2021年预算数</t>
    <phoneticPr fontId="0" type="noConversion"/>
  </si>
  <si>
    <t>决算比预算增减额</t>
    <phoneticPr fontId="0" type="noConversion"/>
  </si>
  <si>
    <t>决算比预算增减%</t>
    <phoneticPr fontId="0" type="noConversion"/>
  </si>
  <si>
    <t>2021年新宾县本级一般公共预算收支平衡决算表</t>
    <phoneticPr fontId="0" type="noConversion"/>
  </si>
  <si>
    <t>2021年度新宾县本级一般公共预算转移支付补助决算表</t>
    <phoneticPr fontId="0" type="noConversion"/>
  </si>
  <si>
    <t>2021年新宾县本级政府一般债务限额和余额情况表</t>
    <phoneticPr fontId="0" type="noConversion"/>
  </si>
  <si>
    <t>2021年新宾县本级“三公”经费决算汇总表</t>
    <phoneticPr fontId="0" type="noConversion"/>
  </si>
  <si>
    <t>1.2021年新宾县本级一般公共预算收入决算表</t>
    <phoneticPr fontId="0" type="noConversion"/>
  </si>
  <si>
    <t>2021年新宾县本级一般公共预算支出决算表</t>
    <phoneticPr fontId="0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</si>
</sst>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55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MS Sans Serif"/>
      <family val="2"/>
    </font>
    <font>
      <sz val="1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7"/>
      <name val="Small Fonts"/>
      <family val="2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9"/>
      <name val="宋体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color theme="1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0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81">
    <xf numFmtId="0" fontId="0" fillId="0" borderId="0"/>
    <xf numFmtId="0" fontId="18" fillId="0" borderId="0"/>
    <xf numFmtId="0" fontId="18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37" fontId="12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3" fillId="0" borderId="0">
      <alignment vertical="center"/>
    </xf>
    <xf numFmtId="0" fontId="20" fillId="0" borderId="0"/>
    <xf numFmtId="0" fontId="23" fillId="0" borderId="0">
      <alignment vertical="center"/>
    </xf>
    <xf numFmtId="0" fontId="8" fillId="0" borderId="0"/>
    <xf numFmtId="0" fontId="2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>
      <alignment vertical="center"/>
    </xf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>
      <alignment vertical="center"/>
    </xf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3" fillId="17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/>
    <xf numFmtId="41" fontId="8" fillId="0" borderId="0" applyFont="0" applyFill="0" applyBorder="0" applyAlignment="0" applyProtection="0"/>
    <xf numFmtId="4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31" fillId="0" borderId="0">
      <alignment vertical="center"/>
    </xf>
    <xf numFmtId="0" fontId="34" fillId="0" borderId="0"/>
    <xf numFmtId="0" fontId="34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center"/>
    </xf>
    <xf numFmtId="0" fontId="35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3" fillId="0" borderId="0"/>
    <xf numFmtId="0" fontId="19" fillId="0" borderId="0"/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/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3" fillId="0" borderId="0"/>
    <xf numFmtId="0" fontId="3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6" fillId="0" borderId="0">
      <alignment vertical="center"/>
    </xf>
    <xf numFmtId="0" fontId="33" fillId="0" borderId="0"/>
    <xf numFmtId="0" fontId="33" fillId="0" borderId="0"/>
    <xf numFmtId="0" fontId="3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6" fillId="0" borderId="0">
      <alignment vertical="center"/>
    </xf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2" fillId="31" borderId="5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1" fillId="0" borderId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4" fillId="0" borderId="0"/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1" fillId="0" borderId="0"/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0"/>
    <xf numFmtId="0" fontId="40" fillId="0" borderId="3" applyNumberFormat="0" applyFill="0" applyAlignment="0" applyProtection="0">
      <alignment vertical="center"/>
    </xf>
    <xf numFmtId="0" fontId="31" fillId="0" borderId="0"/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49" fillId="0" borderId="7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center"/>
    </xf>
    <xf numFmtId="0" fontId="5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6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6" borderId="0" applyNumberFormat="0" applyBorder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8" fillId="0" borderId="0"/>
    <xf numFmtId="0" fontId="52" fillId="31" borderId="5" applyNumberFormat="0" applyAlignment="0" applyProtection="0">
      <alignment vertical="center"/>
    </xf>
    <xf numFmtId="0" fontId="8" fillId="0" borderId="0"/>
    <xf numFmtId="0" fontId="31" fillId="0" borderId="0"/>
    <xf numFmtId="0" fontId="8" fillId="0" borderId="0"/>
    <xf numFmtId="0" fontId="52" fillId="7" borderId="5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6" fillId="29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52" fillId="7" borderId="5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8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52" fillId="31" borderId="5" applyNumberFormat="0" applyAlignment="0" applyProtection="0">
      <alignment vertical="center"/>
    </xf>
    <xf numFmtId="0" fontId="31" fillId="0" borderId="0"/>
    <xf numFmtId="0" fontId="31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8" fillId="0" borderId="0"/>
    <xf numFmtId="0" fontId="36" fillId="5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52" fillId="7" borderId="5" applyNumberFormat="0" applyAlignment="0" applyProtection="0">
      <alignment vertical="center"/>
    </xf>
    <xf numFmtId="0" fontId="31" fillId="0" borderId="0"/>
    <xf numFmtId="0" fontId="31" fillId="0" borderId="0"/>
    <xf numFmtId="0" fontId="8" fillId="0" borderId="0"/>
    <xf numFmtId="0" fontId="36" fillId="5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6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6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8" fillId="0" borderId="0"/>
    <xf numFmtId="0" fontId="36" fillId="3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52" fillId="7" borderId="5" applyNumberFormat="0" applyAlignment="0" applyProtection="0">
      <alignment vertical="center"/>
    </xf>
    <xf numFmtId="0" fontId="31" fillId="0" borderId="0"/>
    <xf numFmtId="0" fontId="31" fillId="0" borderId="0"/>
    <xf numFmtId="0" fontId="8" fillId="0" borderId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36" fillId="3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36" fillId="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>
      <alignment vertical="center"/>
    </xf>
    <xf numFmtId="0" fontId="52" fillId="7" borderId="5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6" fillId="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8" fillId="0" borderId="0">
      <alignment vertical="center"/>
    </xf>
    <xf numFmtId="0" fontId="8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2" fillId="31" borderId="5" applyNumberFormat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19" fillId="0" borderId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7" borderId="5" applyNumberFormat="0" applyAlignment="0" applyProtection="0">
      <alignment vertical="center"/>
    </xf>
    <xf numFmtId="0" fontId="52" fillId="31" borderId="5" applyNumberFormat="0" applyAlignment="0" applyProtection="0">
      <alignment vertical="center"/>
    </xf>
    <xf numFmtId="0" fontId="53" fillId="0" borderId="0"/>
    <xf numFmtId="0" fontId="53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1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4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8" fillId="47" borderId="25" applyNumberFormat="0" applyFont="0" applyAlignment="0" applyProtection="0">
      <alignment vertical="center"/>
    </xf>
    <xf numFmtId="0" fontId="8" fillId="44" borderId="25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23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1" fillId="16" borderId="24" applyNumberFormat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39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23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31" fillId="0" borderId="0"/>
    <xf numFmtId="0" fontId="43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4" fillId="0" borderId="0"/>
    <xf numFmtId="0" fontId="31" fillId="0" borderId="0">
      <alignment vertical="center"/>
    </xf>
    <xf numFmtId="0" fontId="31" fillId="0" borderId="0"/>
    <xf numFmtId="0" fontId="4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3" fillId="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3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3" fillId="2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3" fillId="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  <xf numFmtId="0" fontId="31" fillId="0" borderId="0"/>
    <xf numFmtId="0" fontId="35" fillId="0" borderId="0">
      <alignment vertical="center"/>
    </xf>
    <xf numFmtId="0" fontId="3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54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  <xf numFmtId="0" fontId="37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3" fillId="0" borderId="0"/>
    <xf numFmtId="0" fontId="33" fillId="0" borderId="0"/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3" fillId="0" borderId="0"/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8" fillId="0" borderId="1" applyNumberFormat="0" applyFill="0" applyAlignment="0" applyProtection="0">
      <alignment vertical="center"/>
    </xf>
    <xf numFmtId="43" fontId="31" fillId="0" borderId="0" applyFont="0" applyFill="0" applyBorder="0" applyAlignment="0" applyProtection="0"/>
    <xf numFmtId="0" fontId="38" fillId="0" borderId="1" applyNumberFormat="0" applyFill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8" fillId="0" borderId="1" applyNumberFormat="0" applyFill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27" borderId="0" applyNumberFormat="0" applyBorder="0" applyAlignment="0" applyProtection="0">
      <alignment vertical="center"/>
    </xf>
    <xf numFmtId="0" fontId="31" fillId="0" borderId="0"/>
    <xf numFmtId="0" fontId="36" fillId="2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4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47" borderId="25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6" fillId="6" borderId="0" applyNumberFormat="0" applyBorder="0" applyAlignment="0" applyProtection="0">
      <alignment vertical="center"/>
    </xf>
    <xf numFmtId="0" fontId="33" fillId="0" borderId="0"/>
    <xf numFmtId="0" fontId="37" fillId="21" borderId="0" applyNumberFormat="0" applyBorder="0" applyAlignment="0" applyProtection="0">
      <alignment vertical="center"/>
    </xf>
    <xf numFmtId="0" fontId="33" fillId="0" borderId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3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/>
    <xf numFmtId="0" fontId="33" fillId="0" borderId="0"/>
    <xf numFmtId="0" fontId="36" fillId="0" borderId="0">
      <alignment vertical="center"/>
    </xf>
    <xf numFmtId="0" fontId="33" fillId="0" borderId="0"/>
    <xf numFmtId="0" fontId="33" fillId="0" borderId="0"/>
    <xf numFmtId="0" fontId="3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6" fillId="0" borderId="0">
      <alignment vertical="center"/>
    </xf>
    <xf numFmtId="0" fontId="33" fillId="0" borderId="0"/>
    <xf numFmtId="0" fontId="33" fillId="0" borderId="0"/>
    <xf numFmtId="0" fontId="42" fillId="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/>
    <xf numFmtId="0" fontId="3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45" fillId="16" borderId="5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5" fillId="16" borderId="5" applyNumberFormat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6" fillId="17" borderId="6" applyNumberFormat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6" fillId="17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1" fillId="0" borderId="0"/>
    <xf numFmtId="0" fontId="39" fillId="0" borderId="2" applyNumberFormat="0" applyFill="0" applyAlignment="0" applyProtection="0">
      <alignment vertical="center"/>
    </xf>
    <xf numFmtId="0" fontId="39" fillId="0" borderId="2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8" fillId="0" borderId="1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</cellStyleXfs>
  <cellXfs count="116">
    <xf numFmtId="0" fontId="0" fillId="0" borderId="0" xfId="0" applyFont="1"/>
    <xf numFmtId="0" fontId="0" fillId="0" borderId="8" xfId="0" applyFont="1" applyBorder="1"/>
    <xf numFmtId="0" fontId="26" fillId="0" borderId="8" xfId="0" applyFont="1" applyBorder="1" applyAlignment="1">
      <alignment horizontal="center"/>
    </xf>
    <xf numFmtId="0" fontId="26" fillId="0" borderId="8" xfId="0" applyFont="1" applyBorder="1"/>
    <xf numFmtId="0" fontId="28" fillId="0" borderId="8" xfId="0" applyFont="1" applyBorder="1"/>
    <xf numFmtId="0" fontId="29" fillId="0" borderId="8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8" fillId="0" borderId="19" xfId="0" applyFont="1" applyBorder="1"/>
    <xf numFmtId="176" fontId="28" fillId="0" borderId="15" xfId="0" applyNumberFormat="1" applyFont="1" applyBorder="1"/>
    <xf numFmtId="0" fontId="28" fillId="0" borderId="20" xfId="0" applyFont="1" applyBorder="1"/>
    <xf numFmtId="0" fontId="28" fillId="0" borderId="17" xfId="0" applyFont="1" applyBorder="1"/>
    <xf numFmtId="176" fontId="28" fillId="0" borderId="18" xfId="0" applyNumberFormat="1" applyFont="1" applyBorder="1"/>
    <xf numFmtId="0" fontId="26" fillId="0" borderId="19" xfId="0" applyFont="1" applyBorder="1"/>
    <xf numFmtId="0" fontId="26" fillId="0" borderId="15" xfId="0" applyFont="1" applyBorder="1"/>
    <xf numFmtId="177" fontId="26" fillId="0" borderId="8" xfId="0" applyNumberFormat="1" applyFont="1" applyBorder="1"/>
    <xf numFmtId="0" fontId="27" fillId="0" borderId="19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7" xfId="0" applyFont="1" applyBorder="1"/>
    <xf numFmtId="0" fontId="27" fillId="0" borderId="17" xfId="0" applyFont="1" applyBorder="1"/>
    <xf numFmtId="0" fontId="27" fillId="0" borderId="18" xfId="0" applyFont="1" applyBorder="1"/>
    <xf numFmtId="0" fontId="27" fillId="0" borderId="8" xfId="0" applyFont="1" applyBorder="1"/>
    <xf numFmtId="0" fontId="27" fillId="0" borderId="15" xfId="0" applyFont="1" applyBorder="1"/>
    <xf numFmtId="0" fontId="27" fillId="0" borderId="17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177" fontId="0" fillId="0" borderId="8" xfId="0" applyNumberFormat="1" applyFont="1" applyBorder="1"/>
    <xf numFmtId="0" fontId="30" fillId="0" borderId="8" xfId="0" applyFont="1" applyBorder="1"/>
    <xf numFmtId="177" fontId="30" fillId="0" borderId="8" xfId="0" applyNumberFormat="1" applyFont="1" applyBorder="1"/>
    <xf numFmtId="0" fontId="30" fillId="0" borderId="19" xfId="0" applyFont="1" applyBorder="1"/>
    <xf numFmtId="177" fontId="30" fillId="0" borderId="15" xfId="0" applyNumberFormat="1" applyFont="1" applyBorder="1"/>
    <xf numFmtId="177" fontId="0" fillId="0" borderId="15" xfId="0" applyNumberFormat="1" applyFont="1" applyBorder="1"/>
    <xf numFmtId="177" fontId="0" fillId="0" borderId="17" xfId="0" applyNumberFormat="1" applyFont="1" applyBorder="1"/>
    <xf numFmtId="0" fontId="24" fillId="0" borderId="0" xfId="0" applyFont="1"/>
    <xf numFmtId="0" fontId="31" fillId="0" borderId="0" xfId="0" applyFont="1"/>
    <xf numFmtId="0" fontId="33" fillId="0" borderId="0" xfId="0" applyFont="1"/>
    <xf numFmtId="0" fontId="0" fillId="0" borderId="0" xfId="0" applyFont="1"/>
    <xf numFmtId="0" fontId="26" fillId="25" borderId="8" xfId="1885" applyNumberFormat="1" applyFont="1" applyFill="1" applyBorder="1" applyAlignment="1" applyProtection="1">
      <alignment horizontal="left" vertical="center"/>
    </xf>
    <xf numFmtId="0" fontId="26" fillId="25" borderId="8" xfId="3992" applyNumberFormat="1" applyFont="1" applyFill="1" applyBorder="1" applyAlignment="1" applyProtection="1">
      <alignment horizontal="left" vertical="center"/>
    </xf>
    <xf numFmtId="0" fontId="31" fillId="0" borderId="0" xfId="3992" applyAlignment="1">
      <alignment vertical="center"/>
    </xf>
    <xf numFmtId="0" fontId="31" fillId="0" borderId="0" xfId="3992"/>
    <xf numFmtId="0" fontId="26" fillId="0" borderId="0" xfId="3992" applyFont="1" applyAlignment="1">
      <alignment horizontal="right" vertical="center"/>
    </xf>
    <xf numFmtId="0" fontId="26" fillId="0" borderId="0" xfId="3992" applyFont="1" applyAlignment="1">
      <alignment vertical="center"/>
    </xf>
    <xf numFmtId="0" fontId="0" fillId="0" borderId="0" xfId="0" applyFont="1"/>
    <xf numFmtId="0" fontId="31" fillId="0" borderId="0" xfId="0" applyFont="1"/>
    <xf numFmtId="0" fontId="31" fillId="0" borderId="0" xfId="0" applyFont="1"/>
    <xf numFmtId="177" fontId="28" fillId="0" borderId="18" xfId="3992" applyNumberFormat="1" applyFont="1" applyBorder="1" applyAlignment="1">
      <alignment vertical="center"/>
    </xf>
    <xf numFmtId="177" fontId="28" fillId="0" borderId="17" xfId="3992" applyNumberFormat="1" applyFont="1" applyBorder="1" applyAlignment="1">
      <alignment vertical="center"/>
    </xf>
    <xf numFmtId="0" fontId="28" fillId="0" borderId="17" xfId="3992" applyFont="1" applyBorder="1" applyAlignment="1" applyProtection="1">
      <alignment vertical="center"/>
    </xf>
    <xf numFmtId="0" fontId="28" fillId="0" borderId="8" xfId="4421" applyFont="1" applyBorder="1" applyAlignment="1" applyProtection="1">
      <alignment vertical="center"/>
      <protection locked="0"/>
    </xf>
    <xf numFmtId="3" fontId="28" fillId="25" borderId="8" xfId="4421" applyNumberFormat="1" applyFont="1" applyFill="1" applyBorder="1" applyAlignment="1" applyProtection="1">
      <alignment horizontal="right" vertical="center"/>
    </xf>
    <xf numFmtId="0" fontId="29" fillId="25" borderId="19" xfId="3992" applyNumberFormat="1" applyFont="1" applyFill="1" applyBorder="1" applyAlignment="1" applyProtection="1">
      <alignment vertical="center"/>
    </xf>
    <xf numFmtId="0" fontId="28" fillId="0" borderId="8" xfId="4421" applyFont="1" applyBorder="1" applyAlignment="1" applyProtection="1">
      <alignment horizontal="right" vertical="center"/>
    </xf>
    <xf numFmtId="0" fontId="28" fillId="45" borderId="19" xfId="3992" applyNumberFormat="1" applyFont="1" applyFill="1" applyBorder="1" applyAlignment="1" applyProtection="1">
      <alignment vertical="center"/>
    </xf>
    <xf numFmtId="0" fontId="28" fillId="0" borderId="8" xfId="3992" applyFont="1" applyBorder="1" applyAlignment="1" applyProtection="1">
      <alignment vertical="center"/>
    </xf>
    <xf numFmtId="0" fontId="29" fillId="45" borderId="19" xfId="3992" applyNumberFormat="1" applyFont="1" applyFill="1" applyBorder="1" applyAlignment="1" applyProtection="1">
      <alignment vertical="center"/>
    </xf>
    <xf numFmtId="0" fontId="28" fillId="0" borderId="8" xfId="3992" applyFont="1" applyBorder="1" applyAlignment="1" applyProtection="1">
      <alignment vertical="center"/>
      <protection locked="0"/>
    </xf>
    <xf numFmtId="0" fontId="28" fillId="0" borderId="17" xfId="3992" applyFont="1" applyBorder="1" applyAlignment="1" applyProtection="1">
      <alignment vertical="center"/>
      <protection locked="0"/>
    </xf>
    <xf numFmtId="0" fontId="28" fillId="25" borderId="20" xfId="3992" applyNumberFormat="1" applyFont="1" applyFill="1" applyBorder="1" applyAlignment="1" applyProtection="1">
      <alignment vertical="center"/>
    </xf>
    <xf numFmtId="0" fontId="28" fillId="25" borderId="8" xfId="3992" applyFont="1" applyFill="1" applyBorder="1" applyAlignment="1" applyProtection="1">
      <alignment vertical="center"/>
    </xf>
    <xf numFmtId="0" fontId="28" fillId="0" borderId="8" xfId="4421" applyFont="1" applyFill="1" applyBorder="1" applyAlignment="1" applyProtection="1">
      <alignment horizontal="right" vertical="center"/>
      <protection locked="0"/>
    </xf>
    <xf numFmtId="177" fontId="28" fillId="0" borderId="15" xfId="3992" applyNumberFormat="1" applyFont="1" applyBorder="1" applyAlignment="1">
      <alignment vertical="center"/>
    </xf>
    <xf numFmtId="0" fontId="29" fillId="45" borderId="19" xfId="3992" applyNumberFormat="1" applyFont="1" applyFill="1" applyBorder="1" applyAlignment="1" applyProtection="1">
      <alignment horizontal="center" vertical="center"/>
    </xf>
    <xf numFmtId="0" fontId="28" fillId="25" borderId="19" xfId="3992" applyNumberFormat="1" applyFont="1" applyFill="1" applyBorder="1" applyAlignment="1" applyProtection="1">
      <alignment vertical="center"/>
    </xf>
    <xf numFmtId="0" fontId="29" fillId="45" borderId="8" xfId="3992" applyNumberFormat="1" applyFont="1" applyFill="1" applyBorder="1" applyAlignment="1" applyProtection="1">
      <alignment horizontal="center" vertical="center" wrapText="1"/>
    </xf>
    <xf numFmtId="177" fontId="28" fillId="0" borderId="8" xfId="3992" applyNumberFormat="1" applyFont="1" applyBorder="1" applyAlignment="1">
      <alignment vertical="center"/>
    </xf>
    <xf numFmtId="0" fontId="29" fillId="45" borderId="15" xfId="3992" applyNumberFormat="1" applyFont="1" applyFill="1" applyBorder="1" applyAlignment="1" applyProtection="1">
      <alignment horizontal="center" vertical="center" wrapText="1"/>
    </xf>
    <xf numFmtId="0" fontId="26" fillId="0" borderId="8" xfId="8386" applyFont="1" applyBorder="1" applyAlignment="1" applyProtection="1">
      <protection locked="0"/>
    </xf>
    <xf numFmtId="0" fontId="26" fillId="0" borderId="8" xfId="8228" applyFont="1" applyBorder="1" applyAlignment="1" applyProtection="1"/>
    <xf numFmtId="0" fontId="26" fillId="0" borderId="8" xfId="0" applyFont="1" applyBorder="1"/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6" fillId="0" borderId="19" xfId="0" applyFont="1" applyBorder="1"/>
    <xf numFmtId="0" fontId="26" fillId="0" borderId="15" xfId="0" applyFont="1" applyBorder="1"/>
    <xf numFmtId="0" fontId="26" fillId="0" borderId="20" xfId="0" applyFont="1" applyBorder="1"/>
    <xf numFmtId="0" fontId="26" fillId="0" borderId="17" xfId="0" applyFont="1" applyBorder="1"/>
    <xf numFmtId="0" fontId="26" fillId="0" borderId="18" xfId="0" applyFont="1" applyBorder="1"/>
    <xf numFmtId="0" fontId="27" fillId="0" borderId="12" xfId="0" applyFont="1" applyBorder="1" applyAlignment="1">
      <alignment horizontal="center" wrapText="1"/>
    </xf>
    <xf numFmtId="177" fontId="26" fillId="0" borderId="8" xfId="0" applyNumberFormat="1" applyFont="1" applyBorder="1"/>
    <xf numFmtId="177" fontId="26" fillId="0" borderId="17" xfId="0" applyNumberFormat="1" applyFont="1" applyBorder="1"/>
    <xf numFmtId="0" fontId="27" fillId="0" borderId="19" xfId="0" applyFont="1" applyBorder="1"/>
    <xf numFmtId="0" fontId="33" fillId="0" borderId="0" xfId="0" applyFont="1"/>
    <xf numFmtId="0" fontId="26" fillId="0" borderId="8" xfId="6506" applyFont="1" applyBorder="1"/>
    <xf numFmtId="0" fontId="26" fillId="0" borderId="8" xfId="8386" applyFont="1" applyBorder="1" applyAlignment="1" applyProtection="1">
      <alignment horizontal="right"/>
      <protection locked="0"/>
    </xf>
    <xf numFmtId="0" fontId="0" fillId="0" borderId="8" xfId="0" applyFont="1" applyBorder="1" applyAlignment="1"/>
    <xf numFmtId="0" fontId="31" fillId="0" borderId="0" xfId="0" applyFont="1"/>
    <xf numFmtId="0" fontId="25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21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0" fontId="27" fillId="0" borderId="23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5" fillId="0" borderId="0" xfId="3992" applyFont="1" applyAlignment="1" applyProtection="1">
      <alignment horizontal="center"/>
      <protection locked="0"/>
    </xf>
    <xf numFmtId="0" fontId="29" fillId="45" borderId="11" xfId="3992" applyNumberFormat="1" applyFont="1" applyFill="1" applyBorder="1" applyAlignment="1" applyProtection="1">
      <alignment horizontal="center" vertical="center"/>
    </xf>
    <xf numFmtId="0" fontId="29" fillId="45" borderId="19" xfId="3992" applyNumberFormat="1" applyFont="1" applyFill="1" applyBorder="1" applyAlignment="1" applyProtection="1">
      <alignment horizontal="center" vertical="center"/>
    </xf>
    <xf numFmtId="0" fontId="29" fillId="45" borderId="12" xfId="3992" applyNumberFormat="1" applyFont="1" applyFill="1" applyBorder="1" applyAlignment="1" applyProtection="1">
      <alignment horizontal="center" vertical="center"/>
    </xf>
    <xf numFmtId="0" fontId="29" fillId="45" borderId="13" xfId="3992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26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8" xfId="0" applyFont="1" applyBorder="1" applyAlignment="1">
      <alignment horizontal="center"/>
    </xf>
  </cellXfs>
  <cellStyles count="9981">
    <cellStyle name="_2016年县乡财政平衡" xfId="1"/>
    <cellStyle name="_2016年新宾县一般公共预算收入预算表" xfId="2"/>
    <cellStyle name="20% - 强调文字颜色 1 2" xfId="3"/>
    <cellStyle name="20% - 强调文字颜色 1 2 10" xfId="3993"/>
    <cellStyle name="20% - 强调文字颜色 1 2 10 2" xfId="5675"/>
    <cellStyle name="20% - 强调文字颜色 1 2 2" xfId="4"/>
    <cellStyle name="20% - 强调文字颜色 1 2 2 2" xfId="5"/>
    <cellStyle name="20% - 强调文字颜色 1 2 2 2 2" xfId="6"/>
    <cellStyle name="20% - 强调文字颜色 1 2 2 2 2 2" xfId="7"/>
    <cellStyle name="20% - 强调文字颜色 1 2 2 2 2 2 2" xfId="9684"/>
    <cellStyle name="20% - 强调文字颜色 1 2 2 2 2 3" xfId="8"/>
    <cellStyle name="20% - 强调文字颜色 1 2 2 2 2 3 2" xfId="9964"/>
    <cellStyle name="20% - 强调文字颜色 1 2 2 2 2 4" xfId="9"/>
    <cellStyle name="20% - 强调文字颜色 1 2 2 2 2 4 2" xfId="9683"/>
    <cellStyle name="20% - 强调文字颜色 1 2 2 2 2 5" xfId="3996"/>
    <cellStyle name="20% - 强调文字颜色 1 2 2 2 2 5 2" xfId="7484"/>
    <cellStyle name="20% - 强调文字颜色 1 2 2 2 2 6" xfId="8973"/>
    <cellStyle name="20% - 强调文字颜色 1 2 2 2 3" xfId="10"/>
    <cellStyle name="20% - 强调文字颜色 1 2 2 2 3 2" xfId="8972"/>
    <cellStyle name="20% - 强调文字颜色 1 2 2 2 4" xfId="11"/>
    <cellStyle name="20% - 强调文字颜色 1 2 2 2 4 2" xfId="8970"/>
    <cellStyle name="20% - 强调文字颜色 1 2 2 2 5" xfId="12"/>
    <cellStyle name="20% - 强调文字颜色 1 2 2 2 5 2" xfId="9682"/>
    <cellStyle name="20% - 强调文字颜色 1 2 2 2 6" xfId="13"/>
    <cellStyle name="20% - 强调文字颜色 1 2 2 2 6 2" xfId="9681"/>
    <cellStyle name="20% - 强调文字颜色 1 2 2 2 7" xfId="3995"/>
    <cellStyle name="20% - 强调文字颜色 1 2 2 2 7 2" xfId="5677"/>
    <cellStyle name="20% - 强调文字颜色 1 2 2 2 8" xfId="8974"/>
    <cellStyle name="20% - 强调文字颜色 1 2 2 3" xfId="14"/>
    <cellStyle name="20% - 强调文字颜色 1 2 2 3 2" xfId="15"/>
    <cellStyle name="20% - 强调文字颜色 1 2 2 3 2 2" xfId="7482"/>
    <cellStyle name="20% - 强调文字颜色 1 2 2 3 3" xfId="16"/>
    <cellStyle name="20% - 强调文字颜色 1 2 2 3 3 2" xfId="9963"/>
    <cellStyle name="20% - 强调文字颜色 1 2 2 3 4" xfId="17"/>
    <cellStyle name="20% - 强调文字颜色 1 2 2 3 4 2" xfId="9680"/>
    <cellStyle name="20% - 强调文字颜色 1 2 2 3 5" xfId="3997"/>
    <cellStyle name="20% - 强调文字颜色 1 2 2 3 5 2" xfId="5678"/>
    <cellStyle name="20% - 强调文字颜色 1 2 2 3 6" xfId="8966"/>
    <cellStyle name="20% - 强调文字颜色 1 2 2 4" xfId="18"/>
    <cellStyle name="20% - 强调文字颜色 1 2 2 4 2" xfId="8965"/>
    <cellStyle name="20% - 强调文字颜色 1 2 2 4 3" xfId="9679"/>
    <cellStyle name="20% - 强调文字颜色 1 2 2 5" xfId="19"/>
    <cellStyle name="20% - 强调文字颜色 1 2 2 5 2" xfId="8964"/>
    <cellStyle name="20% - 强调文字颜色 1 2 2 6" xfId="20"/>
    <cellStyle name="20% - 强调文字颜色 1 2 2 6 2" xfId="8962"/>
    <cellStyle name="20% - 强调文字颜色 1 2 2 7" xfId="21"/>
    <cellStyle name="20% - 强调文字颜色 1 2 2 7 2" xfId="9962"/>
    <cellStyle name="20% - 强调文字颜色 1 2 2 8" xfId="3994"/>
    <cellStyle name="20% - 强调文字颜色 1 2 3" xfId="22"/>
    <cellStyle name="20% - 强调文字颜色 1 2 3 2" xfId="23"/>
    <cellStyle name="20% - 强调文字颜色 1 2 3 2 2" xfId="24"/>
    <cellStyle name="20% - 强调文字颜色 1 2 3 2 2 2" xfId="25"/>
    <cellStyle name="20% - 强调文字颜色 1 2 3 2 2 2 2" xfId="9678"/>
    <cellStyle name="20% - 强调文字颜色 1 2 3 2 2 3" xfId="26"/>
    <cellStyle name="20% - 强调文字颜色 1 2 3 2 2 3 2" xfId="9677"/>
    <cellStyle name="20% - 强调文字颜色 1 2 3 2 2 4" xfId="27"/>
    <cellStyle name="20% - 强调文字颜色 1 2 3 2 2 4 2" xfId="9676"/>
    <cellStyle name="20% - 强调文字颜色 1 2 3 2 2 5" xfId="4000"/>
    <cellStyle name="20% - 强调文字颜色 1 2 3 2 2 5 2" xfId="7472"/>
    <cellStyle name="20% - 强调文字颜色 1 2 3 2 2 6" xfId="8957"/>
    <cellStyle name="20% - 强调文字颜色 1 2 3 2 3" xfId="28"/>
    <cellStyle name="20% - 强调文字颜色 1 2 3 2 3 2" xfId="8955"/>
    <cellStyle name="20% - 强调文字颜色 1 2 3 2 4" xfId="29"/>
    <cellStyle name="20% - 强调文字颜色 1 2 3 2 4 2" xfId="8951"/>
    <cellStyle name="20% - 强调文字颜色 1 2 3 2 5" xfId="30"/>
    <cellStyle name="20% - 强调文字颜色 1 2 3 2 5 2" xfId="9675"/>
    <cellStyle name="20% - 强调文字颜色 1 2 3 2 6" xfId="31"/>
    <cellStyle name="20% - 强调文字颜色 1 2 3 2 6 2" xfId="9674"/>
    <cellStyle name="20% - 强调文字颜色 1 2 3 2 7" xfId="3999"/>
    <cellStyle name="20% - 强调文字颜色 1 2 3 2 7 2" xfId="5681"/>
    <cellStyle name="20% - 强调文字颜色 1 2 3 2 8" xfId="8958"/>
    <cellStyle name="20% - 强调文字颜色 1 2 3 3" xfId="32"/>
    <cellStyle name="20% - 强调文字颜色 1 2 3 3 2" xfId="33"/>
    <cellStyle name="20% - 强调文字颜色 1 2 3 3 2 2" xfId="7467"/>
    <cellStyle name="20% - 强调文字颜色 1 2 3 3 3" xfId="34"/>
    <cellStyle name="20% - 强调文字颜色 1 2 3 3 3 2" xfId="9961"/>
    <cellStyle name="20% - 强调文字颜色 1 2 3 3 4" xfId="35"/>
    <cellStyle name="20% - 强调文字颜色 1 2 3 3 4 2" xfId="9673"/>
    <cellStyle name="20% - 强调文字颜色 1 2 3 3 5" xfId="4001"/>
    <cellStyle name="20% - 强调文字颜色 1 2 3 3 5 2" xfId="5683"/>
    <cellStyle name="20% - 强调文字颜色 1 2 3 3 6" xfId="8950"/>
    <cellStyle name="20% - 强调文字颜色 1 2 3 4" xfId="36"/>
    <cellStyle name="20% - 强调文字颜色 1 2 3 4 2" xfId="7466"/>
    <cellStyle name="20% - 强调文字颜色 1 2 3 4 3" xfId="8949"/>
    <cellStyle name="20% - 强调文字颜色 1 2 3 5" xfId="37"/>
    <cellStyle name="20% - 强调文字颜色 1 2 3 5 2" xfId="8947"/>
    <cellStyle name="20% - 强调文字颜色 1 2 3 6" xfId="38"/>
    <cellStyle name="20% - 强调文字颜色 1 2 3 6 2" xfId="8943"/>
    <cellStyle name="20% - 强调文字颜色 1 2 3 7" xfId="39"/>
    <cellStyle name="20% - 强调文字颜色 1 2 3 7 2" xfId="9672"/>
    <cellStyle name="20% - 强调文字颜色 1 2 3 8" xfId="40"/>
    <cellStyle name="20% - 强调文字颜色 1 2 3 8 2" xfId="9671"/>
    <cellStyle name="20% - 强调文字颜色 1 2 3 9" xfId="3998"/>
    <cellStyle name="20% - 强调文字颜色 1 2 3 9 2" xfId="5680"/>
    <cellStyle name="20% - 强调文字颜色 1 2 4" xfId="41"/>
    <cellStyle name="20% - 强调文字颜色 1 2 4 2" xfId="42"/>
    <cellStyle name="20% - 强调文字颜色 1 2 4 2 2" xfId="7465"/>
    <cellStyle name="20% - 强调文字颜色 1 2 4 3" xfId="43"/>
    <cellStyle name="20% - 强调文字颜色 1 2 4 3 2" xfId="7464"/>
    <cellStyle name="20% - 强调文字颜色 1 2 4 4" xfId="44"/>
    <cellStyle name="20% - 强调文字颜色 1 2 4 4 2" xfId="9670"/>
    <cellStyle name="20% - 强调文字颜色 1 2 4 5" xfId="45"/>
    <cellStyle name="20% - 强调文字颜色 1 2 4 5 2" xfId="9980"/>
    <cellStyle name="20% - 强调文字颜色 1 2 4 6" xfId="46"/>
    <cellStyle name="20% - 强调文字颜色 1 2 4 6 2" xfId="9960"/>
    <cellStyle name="20% - 强调文字颜色 1 2 4 7" xfId="4002"/>
    <cellStyle name="20% - 强调文字颜色 1 2 4 7 2" xfId="5685"/>
    <cellStyle name="20% - 强调文字颜色 1 2 4 8" xfId="8942"/>
    <cellStyle name="20% - 强调文字颜色 1 2 5" xfId="47"/>
    <cellStyle name="20% - 强调文字颜色 1 2 5 2" xfId="48"/>
    <cellStyle name="20% - 强调文字颜色 1 2 5 2 2" xfId="6788"/>
    <cellStyle name="20% - 强调文字颜色 1 2 5 3" xfId="4003"/>
    <cellStyle name="20% - 强调文字颜色 1 2 5 3 2" xfId="5687"/>
    <cellStyle name="20% - 强调文字颜色 1 2 5 4" xfId="8937"/>
    <cellStyle name="20% - 强调文字颜色 1 2 6" xfId="49"/>
    <cellStyle name="20% - 强调文字颜色 1 2 6 2" xfId="8936"/>
    <cellStyle name="20% - 强调文字颜色 1 2 7" xfId="50"/>
    <cellStyle name="20% - 强调文字颜色 1 2 7 2" xfId="8935"/>
    <cellStyle name="20% - 强调文字颜色 1 2 8" xfId="51"/>
    <cellStyle name="20% - 强调文字颜色 1 2 8 2" xfId="9669"/>
    <cellStyle name="20% - 强调文字颜色 1 2 9" xfId="52"/>
    <cellStyle name="20% - 强调文字颜色 1 2 9 2" xfId="9668"/>
    <cellStyle name="20% - 强调文字颜色 1 3" xfId="53"/>
    <cellStyle name="20% - 强调文字颜色 1 3 2" xfId="54"/>
    <cellStyle name="20% - 强调文字颜色 1 3 2 2" xfId="55"/>
    <cellStyle name="20% - 强调文字颜色 1 3 2 2 2" xfId="9979"/>
    <cellStyle name="20% - 强调文字颜色 1 3 2 3" xfId="4005"/>
    <cellStyle name="20% - 强调文字颜色 1 3 2 3 2" xfId="5688"/>
    <cellStyle name="20% - 强调文字颜色 1 3 2 4" xfId="6753"/>
    <cellStyle name="20% - 强调文字颜色 1 3 2 5" xfId="9667"/>
    <cellStyle name="20% - 强调文字颜色 1 3 3" xfId="56"/>
    <cellStyle name="20% - 强调文字颜色 1 3 3 2" xfId="4006"/>
    <cellStyle name="20% - 强调文字颜色 1 3 3 2 2" xfId="6752"/>
    <cellStyle name="20% - 强调文字颜色 1 3 4" xfId="57"/>
    <cellStyle name="20% - 强调文字颜色 1 3 4 2" xfId="9978"/>
    <cellStyle name="20% - 强调文字颜色 1 3 5" xfId="58"/>
    <cellStyle name="20% - 强调文字颜色 1 3 5 2" xfId="9959"/>
    <cellStyle name="20% - 强调文字颜色 1 3 6" xfId="4004"/>
    <cellStyle name="20% - 强调文字颜色 1 4" xfId="59"/>
    <cellStyle name="20% - 强调文字颜色 1 4 2" xfId="4007"/>
    <cellStyle name="20% - 强调文字颜色 1 4 3" xfId="9666"/>
    <cellStyle name="20% - 强调文字颜色 2 2" xfId="60"/>
    <cellStyle name="20% - 强调文字颜色 2 2 10" xfId="4008"/>
    <cellStyle name="20% - 强调文字颜色 2 2 10 2" xfId="5689"/>
    <cellStyle name="20% - 强调文字颜色 2 2 2" xfId="61"/>
    <cellStyle name="20% - 强调文字颜色 2 2 2 2" xfId="62"/>
    <cellStyle name="20% - 强调文字颜色 2 2 2 2 2" xfId="63"/>
    <cellStyle name="20% - 强调文字颜色 2 2 2 2 2 2" xfId="64"/>
    <cellStyle name="20% - 强调文字颜色 2 2 2 2 2 2 2" xfId="9958"/>
    <cellStyle name="20% - 强调文字颜色 2 2 2 2 2 3" xfId="65"/>
    <cellStyle name="20% - 强调文字颜色 2 2 2 2 2 3 2" xfId="9665"/>
    <cellStyle name="20% - 强调文字颜色 2 2 2 2 2 4" xfId="66"/>
    <cellStyle name="20% - 强调文字颜色 2 2 2 2 2 4 2" xfId="9957"/>
    <cellStyle name="20% - 强调文字颜色 2 2 2 2 2 5" xfId="4011"/>
    <cellStyle name="20% - 强调文字颜色 2 2 2 2 2 5 2" xfId="6740"/>
    <cellStyle name="20% - 强调文字颜色 2 2 2 2 2 6" xfId="8925"/>
    <cellStyle name="20% - 强调文字颜色 2 2 2 2 3" xfId="67"/>
    <cellStyle name="20% - 强调文字颜色 2 2 2 2 3 2" xfId="8924"/>
    <cellStyle name="20% - 强调文字颜色 2 2 2 2 4" xfId="68"/>
    <cellStyle name="20% - 强调文字颜色 2 2 2 2 4 2" xfId="8923"/>
    <cellStyle name="20% - 强调文字颜色 2 2 2 2 5" xfId="69"/>
    <cellStyle name="20% - 强调文字颜色 2 2 2 2 5 2" xfId="9664"/>
    <cellStyle name="20% - 强调文字颜色 2 2 2 2 6" xfId="70"/>
    <cellStyle name="20% - 强调文字颜色 2 2 2 2 6 2" xfId="9663"/>
    <cellStyle name="20% - 强调文字颜色 2 2 2 2 7" xfId="4010"/>
    <cellStyle name="20% - 强调文字颜色 2 2 2 2 7 2" xfId="5691"/>
    <cellStyle name="20% - 强调文字颜色 2 2 2 2 8" xfId="8929"/>
    <cellStyle name="20% - 强调文字颜色 2 2 2 3" xfId="71"/>
    <cellStyle name="20% - 强调文字颜色 2 2 2 3 2" xfId="72"/>
    <cellStyle name="20% - 强调文字颜色 2 2 2 3 2 2" xfId="6727"/>
    <cellStyle name="20% - 强调文字颜色 2 2 2 3 3" xfId="73"/>
    <cellStyle name="20% - 强调文字颜色 2 2 2 3 3 2" xfId="9977"/>
    <cellStyle name="20% - 强调文字颜色 2 2 2 3 4" xfId="74"/>
    <cellStyle name="20% - 强调文字颜色 2 2 2 3 4 2" xfId="9976"/>
    <cellStyle name="20% - 强调文字颜色 2 2 2 3 5" xfId="4012"/>
    <cellStyle name="20% - 强调文字颜色 2 2 2 3 5 2" xfId="5693"/>
    <cellStyle name="20% - 强调文字颜色 2 2 2 3 6" xfId="8921"/>
    <cellStyle name="20% - 强调文字颜色 2 2 2 4" xfId="75"/>
    <cellStyle name="20% - 强调文字颜色 2 2 2 4 2" xfId="8917"/>
    <cellStyle name="20% - 强调文字颜色 2 2 2 4 3" xfId="9975"/>
    <cellStyle name="20% - 强调文字颜色 2 2 2 5" xfId="76"/>
    <cellStyle name="20% - 强调文字颜色 2 2 2 5 2" xfId="8916"/>
    <cellStyle name="20% - 强调文字颜色 2 2 2 6" xfId="77"/>
    <cellStyle name="20% - 强调文字颜色 2 2 2 6 2" xfId="8914"/>
    <cellStyle name="20% - 强调文字颜色 2 2 2 7" xfId="78"/>
    <cellStyle name="20% - 强调文字颜色 2 2 2 7 2" xfId="9662"/>
    <cellStyle name="20% - 强调文字颜色 2 2 2 8" xfId="4009"/>
    <cellStyle name="20% - 强调文字颜色 2 2 3" xfId="79"/>
    <cellStyle name="20% - 强调文字颜色 2 2 3 2" xfId="80"/>
    <cellStyle name="20% - 强调文字颜色 2 2 3 2 2" xfId="81"/>
    <cellStyle name="20% - 强调文字颜色 2 2 3 2 2 2" xfId="82"/>
    <cellStyle name="20% - 强调文字颜色 2 2 3 2 2 2 2" xfId="9956"/>
    <cellStyle name="20% - 强调文字颜色 2 2 3 2 2 3" xfId="83"/>
    <cellStyle name="20% - 强调文字颜色 2 2 3 2 2 3 2" xfId="9661"/>
    <cellStyle name="20% - 强调文字颜色 2 2 3 2 2 4" xfId="84"/>
    <cellStyle name="20% - 强调文字颜色 2 2 3 2 2 4 2" xfId="9974"/>
    <cellStyle name="20% - 强调文字颜色 2 2 3 2 2 5" xfId="4015"/>
    <cellStyle name="20% - 强调文字颜色 2 2 3 2 2 5 2" xfId="6724"/>
    <cellStyle name="20% - 强调文字颜色 2 2 3 2 2 6" xfId="8909"/>
    <cellStyle name="20% - 强调文字颜色 2 2 3 2 3" xfId="85"/>
    <cellStyle name="20% - 强调文字颜色 2 2 3 2 3 2" xfId="8907"/>
    <cellStyle name="20% - 强调文字颜色 2 2 3 2 4" xfId="86"/>
    <cellStyle name="20% - 强调文字颜色 2 2 3 2 4 2" xfId="8903"/>
    <cellStyle name="20% - 强调文字颜色 2 2 3 2 5" xfId="87"/>
    <cellStyle name="20% - 强调文字颜色 2 2 3 2 5 2" xfId="9972"/>
    <cellStyle name="20% - 强调文字颜色 2 2 3 2 6" xfId="88"/>
    <cellStyle name="20% - 强调文字颜色 2 2 3 2 6 2" xfId="9973"/>
    <cellStyle name="20% - 强调文字颜色 2 2 3 2 7" xfId="4014"/>
    <cellStyle name="20% - 强调文字颜色 2 2 3 2 7 2" xfId="5696"/>
    <cellStyle name="20% - 强调文字颜色 2 2 3 2 8" xfId="8910"/>
    <cellStyle name="20% - 强调文字颜色 2 2 3 3" xfId="89"/>
    <cellStyle name="20% - 强调文字颜色 2 2 3 3 2" xfId="90"/>
    <cellStyle name="20% - 强调文字颜色 2 2 3 3 2 2" xfId="6718"/>
    <cellStyle name="20% - 强调文字颜色 2 2 3 3 3" xfId="91"/>
    <cellStyle name="20% - 强调文字颜色 2 2 3 3 3 2" xfId="9660"/>
    <cellStyle name="20% - 强调文字颜色 2 2 3 3 4" xfId="92"/>
    <cellStyle name="20% - 强调文字颜色 2 2 3 3 4 2" xfId="9659"/>
    <cellStyle name="20% - 强调文字颜色 2 2 3 3 5" xfId="4016"/>
    <cellStyle name="20% - 强调文字颜色 2 2 3 3 5 2" xfId="5697"/>
    <cellStyle name="20% - 强调文字颜色 2 2 3 3 6" xfId="8902"/>
    <cellStyle name="20% - 强调文字颜色 2 2 3 4" xfId="93"/>
    <cellStyle name="20% - 强调文字颜色 2 2 3 4 2" xfId="6717"/>
    <cellStyle name="20% - 强调文字颜色 2 2 3 4 3" xfId="8901"/>
    <cellStyle name="20% - 强调文字颜色 2 2 3 5" xfId="94"/>
    <cellStyle name="20% - 强调文字颜色 2 2 3 5 2" xfId="8899"/>
    <cellStyle name="20% - 强调文字颜色 2 2 3 6" xfId="95"/>
    <cellStyle name="20% - 强调文字颜色 2 2 3 6 2" xfId="8895"/>
    <cellStyle name="20% - 强调文字颜色 2 2 3 7" xfId="96"/>
    <cellStyle name="20% - 强调文字颜色 2 2 3 7 2" xfId="9971"/>
    <cellStyle name="20% - 强调文字颜色 2 2 3 8" xfId="97"/>
    <cellStyle name="20% - 强调文字颜色 2 2 3 8 2" xfId="9970"/>
    <cellStyle name="20% - 强调文字颜色 2 2 3 9" xfId="4013"/>
    <cellStyle name="20% - 强调文字颜色 2 2 3 9 2" xfId="5695"/>
    <cellStyle name="20% - 强调文字颜色 2 2 4" xfId="98"/>
    <cellStyle name="20% - 强调文字颜色 2 2 4 2" xfId="99"/>
    <cellStyle name="20% - 强调文字颜色 2 2 4 2 2" xfId="6711"/>
    <cellStyle name="20% - 强调文字颜色 2 2 4 3" xfId="100"/>
    <cellStyle name="20% - 强调文字颜色 2 2 4 3 2" xfId="6710"/>
    <cellStyle name="20% - 强调文字颜色 2 2 4 4" xfId="101"/>
    <cellStyle name="20% - 强调文字颜色 2 2 4 4 2" xfId="9658"/>
    <cellStyle name="20% - 强调文字颜色 2 2 4 5" xfId="102"/>
    <cellStyle name="20% - 强调文字颜色 2 2 4 5 2" xfId="9657"/>
    <cellStyle name="20% - 强调文字颜色 2 2 4 6" xfId="103"/>
    <cellStyle name="20% - 强调文字颜色 2 2 4 6 2" xfId="9968"/>
    <cellStyle name="20% - 强调文字颜色 2 2 4 7" xfId="4017"/>
    <cellStyle name="20% - 强调文字颜色 2 2 4 7 2" xfId="5699"/>
    <cellStyle name="20% - 强调文字颜色 2 2 4 8" xfId="8894"/>
    <cellStyle name="20% - 强调文字颜色 2 2 5" xfId="104"/>
    <cellStyle name="20% - 强调文字颜色 2 2 5 2" xfId="105"/>
    <cellStyle name="20% - 强调文字颜色 2 2 5 2 2" xfId="6703"/>
    <cellStyle name="20% - 强调文字颜色 2 2 5 3" xfId="4018"/>
    <cellStyle name="20% - 强调文字颜色 2 2 5 3 2" xfId="5702"/>
    <cellStyle name="20% - 强调文字颜色 2 2 5 4" xfId="8892"/>
    <cellStyle name="20% - 强调文字颜色 2 2 6" xfId="106"/>
    <cellStyle name="20% - 强调文字颜色 2 2 6 2" xfId="8889"/>
    <cellStyle name="20% - 强调文字颜色 2 2 7" xfId="107"/>
    <cellStyle name="20% - 强调文字颜色 2 2 7 2" xfId="8888"/>
    <cellStyle name="20% - 强调文字颜色 2 2 8" xfId="108"/>
    <cellStyle name="20% - 强调文字颜色 2 2 8 2" xfId="9955"/>
    <cellStyle name="20% - 强调文字颜色 2 2 9" xfId="109"/>
    <cellStyle name="20% - 强调文字颜色 2 2 9 2" xfId="9656"/>
    <cellStyle name="20% - 强调文字颜色 2 3" xfId="110"/>
    <cellStyle name="20% - 强调文字颜色 2 3 2" xfId="111"/>
    <cellStyle name="20% - 强调文字颜色 2 3 2 2" xfId="112"/>
    <cellStyle name="20% - 强调文字颜色 2 3 2 2 2" xfId="9954"/>
    <cellStyle name="20% - 强调文字颜色 2 3 2 3" xfId="4020"/>
    <cellStyle name="20% - 强调文字颜色 2 3 2 3 2" xfId="5703"/>
    <cellStyle name="20% - 强调文字颜色 2 3 2 4" xfId="6699"/>
    <cellStyle name="20% - 强调文字颜色 2 3 2 5" xfId="9969"/>
    <cellStyle name="20% - 强调文字颜色 2 3 3" xfId="113"/>
    <cellStyle name="20% - 强调文字颜色 2 3 3 2" xfId="4021"/>
    <cellStyle name="20% - 强调文字颜色 2 3 3 2 2" xfId="6698"/>
    <cellStyle name="20% - 强调文字颜色 2 3 4" xfId="114"/>
    <cellStyle name="20% - 强调文字颜色 2 3 4 2" xfId="9655"/>
    <cellStyle name="20% - 强调文字颜色 2 3 5" xfId="115"/>
    <cellStyle name="20% - 强调文字颜色 2 3 5 2" xfId="9654"/>
    <cellStyle name="20% - 强调文字颜色 2 3 6" xfId="4019"/>
    <cellStyle name="20% - 强调文字颜色 2 4" xfId="116"/>
    <cellStyle name="20% - 强调文字颜色 2 4 2" xfId="4022"/>
    <cellStyle name="20% - 强调文字颜色 2 4 3" xfId="9653"/>
    <cellStyle name="20% - 强调文字颜色 3 2" xfId="117"/>
    <cellStyle name="20% - 强调文字颜色 3 2 10" xfId="4023"/>
    <cellStyle name="20% - 强调文字颜色 3 2 10 2" xfId="5705"/>
    <cellStyle name="20% - 强调文字颜色 3 2 2" xfId="118"/>
    <cellStyle name="20% - 强调文字颜色 3 2 2 2" xfId="119"/>
    <cellStyle name="20% - 强调文字颜色 3 2 2 2 2" xfId="120"/>
    <cellStyle name="20% - 强调文字颜色 3 2 2 2 2 2" xfId="121"/>
    <cellStyle name="20% - 强调文字颜色 3 2 2 2 2 2 2" xfId="9967"/>
    <cellStyle name="20% - 强调文字颜色 3 2 2 2 2 3" xfId="122"/>
    <cellStyle name="20% - 强调文字颜色 3 2 2 2 2 3 2" xfId="9953"/>
    <cellStyle name="20% - 强调文字颜色 3 2 2 2 2 4" xfId="123"/>
    <cellStyle name="20% - 强调文字颜色 3 2 2 2 2 4 2" xfId="9652"/>
    <cellStyle name="20% - 强调文字颜色 3 2 2 2 2 5" xfId="4026"/>
    <cellStyle name="20% - 强调文字颜色 3 2 2 2 2 5 2" xfId="6686"/>
    <cellStyle name="20% - 强调文字颜色 3 2 2 2 2 6" xfId="8883"/>
    <cellStyle name="20% - 强调文字颜色 3 2 2 2 3" xfId="124"/>
    <cellStyle name="20% - 强调文字颜色 3 2 2 2 3 2" xfId="8882"/>
    <cellStyle name="20% - 强调文字颜色 3 2 2 2 4" xfId="125"/>
    <cellStyle name="20% - 强调文字颜色 3 2 2 2 4 2" xfId="8881"/>
    <cellStyle name="20% - 强调文字颜色 3 2 2 2 5" xfId="126"/>
    <cellStyle name="20% - 强调文字颜色 3 2 2 2 5 2" xfId="9952"/>
    <cellStyle name="20% - 强调文字颜色 3 2 2 2 6" xfId="127"/>
    <cellStyle name="20% - 强调文字颜色 3 2 2 2 6 2" xfId="9651"/>
    <cellStyle name="20% - 强调文字颜色 3 2 2 2 7" xfId="4025"/>
    <cellStyle name="20% - 强调文字颜色 3 2 2 2 7 2" xfId="5707"/>
    <cellStyle name="20% - 强调文字颜色 3 2 2 2 8" xfId="8884"/>
    <cellStyle name="20% - 强调文字颜色 3 2 2 3" xfId="128"/>
    <cellStyle name="20% - 强调文字颜色 3 2 2 3 2" xfId="129"/>
    <cellStyle name="20% - 强调文字颜色 3 2 2 3 2 2" xfId="6684"/>
    <cellStyle name="20% - 强调文字颜色 3 2 2 3 3" xfId="130"/>
    <cellStyle name="20% - 强调文字颜色 3 2 2 3 3 2" xfId="9966"/>
    <cellStyle name="20% - 强调文字颜色 3 2 2 3 4" xfId="131"/>
    <cellStyle name="20% - 强调文字颜色 3 2 2 3 4 2" xfId="9951"/>
    <cellStyle name="20% - 强调文字颜色 3 2 2 3 5" xfId="4027"/>
    <cellStyle name="20% - 强调文字颜色 3 2 2 3 5 2" xfId="5708"/>
    <cellStyle name="20% - 强调文字颜色 3 2 2 3 6" xfId="8880"/>
    <cellStyle name="20% - 强调文字颜色 3 2 2 4" xfId="132"/>
    <cellStyle name="20% - 强调文字颜色 3 2 2 4 2" xfId="8879"/>
    <cellStyle name="20% - 强调文字颜色 3 2 2 4 3" xfId="9650"/>
    <cellStyle name="20% - 强调文字颜色 3 2 2 5" xfId="133"/>
    <cellStyle name="20% - 强调文字颜色 3 2 2 5 2" xfId="8878"/>
    <cellStyle name="20% - 强调文字颜色 3 2 2 6" xfId="134"/>
    <cellStyle name="20% - 强调文字颜色 3 2 2 6 2" xfId="8877"/>
    <cellStyle name="20% - 强调文字颜色 3 2 2 7" xfId="135"/>
    <cellStyle name="20% - 强调文字颜色 3 2 2 7 2" xfId="9649"/>
    <cellStyle name="20% - 强调文字颜色 3 2 2 8" xfId="4024"/>
    <cellStyle name="20% - 强调文字颜色 3 2 3" xfId="136"/>
    <cellStyle name="20% - 强调文字颜色 3 2 3 2" xfId="137"/>
    <cellStyle name="20% - 强调文字颜色 3 2 3 2 2" xfId="138"/>
    <cellStyle name="20% - 强调文字颜色 3 2 3 2 2 2" xfId="139"/>
    <cellStyle name="20% - 强调文字颜色 3 2 3 2 2 2 2" xfId="9648"/>
    <cellStyle name="20% - 强调文字颜色 3 2 3 2 2 3" xfId="140"/>
    <cellStyle name="20% - 强调文字颜色 3 2 3 2 2 3 2" xfId="9647"/>
    <cellStyle name="20% - 强调文字颜色 3 2 3 2 2 4" xfId="141"/>
    <cellStyle name="20% - 强调文字颜色 3 2 3 2 2 4 2" xfId="9646"/>
    <cellStyle name="20% - 强调文字颜色 3 2 3 2 2 5" xfId="4030"/>
    <cellStyle name="20% - 强调文字颜色 3 2 3 2 2 5 2" xfId="6683"/>
    <cellStyle name="20% - 强调文字颜色 3 2 3 2 2 6" xfId="8875"/>
    <cellStyle name="20% - 强调文字颜色 3 2 3 2 3" xfId="142"/>
    <cellStyle name="20% - 强调文字颜色 3 2 3 2 3 2" xfId="8874"/>
    <cellStyle name="20% - 强调文字颜色 3 2 3 2 4" xfId="143"/>
    <cellStyle name="20% - 强调文字颜色 3 2 3 2 4 2" xfId="8873"/>
    <cellStyle name="20% - 强调文字颜色 3 2 3 2 5" xfId="144"/>
    <cellStyle name="20% - 强调文字颜色 3 2 3 2 5 2" xfId="9950"/>
    <cellStyle name="20% - 强调文字颜色 3 2 3 2 6" xfId="145"/>
    <cellStyle name="20% - 强调文字颜色 3 2 3 2 6 2" xfId="9645"/>
    <cellStyle name="20% - 强调文字颜色 3 2 3 2 7" xfId="4029"/>
    <cellStyle name="20% - 强调文字颜色 3 2 3 2 7 2" xfId="5711"/>
    <cellStyle name="20% - 强调文字颜色 3 2 3 2 8" xfId="8876"/>
    <cellStyle name="20% - 强调文字颜色 3 2 3 3" xfId="146"/>
    <cellStyle name="20% - 强调文字颜色 3 2 3 3 2" xfId="147"/>
    <cellStyle name="20% - 强调文字颜色 3 2 3 3 2 2" xfId="6682"/>
    <cellStyle name="20% - 强调文字颜色 3 2 3 3 3" xfId="148"/>
    <cellStyle name="20% - 强调文字颜色 3 2 3 3 3 2" xfId="9644"/>
    <cellStyle name="20% - 强调文字颜色 3 2 3 3 4" xfId="149"/>
    <cellStyle name="20% - 强调文字颜色 3 2 3 3 4 2" xfId="9949"/>
    <cellStyle name="20% - 强调文字颜色 3 2 3 3 5" xfId="4031"/>
    <cellStyle name="20% - 强调文字颜色 3 2 3 3 5 2" xfId="5713"/>
    <cellStyle name="20% - 强调文字颜色 3 2 3 3 6" xfId="8872"/>
    <cellStyle name="20% - 强调文字颜色 3 2 3 4" xfId="150"/>
    <cellStyle name="20% - 强调文字颜色 3 2 3 4 2" xfId="6680"/>
    <cellStyle name="20% - 强调文字颜色 3 2 3 4 3" xfId="8871"/>
    <cellStyle name="20% - 强调文字颜色 3 2 3 5" xfId="151"/>
    <cellStyle name="20% - 强调文字颜色 3 2 3 5 2" xfId="8870"/>
    <cellStyle name="20% - 强调文字颜色 3 2 3 6" xfId="152"/>
    <cellStyle name="20% - 强调文字颜色 3 2 3 6 2" xfId="8869"/>
    <cellStyle name="20% - 强调文字颜色 3 2 3 7" xfId="153"/>
    <cellStyle name="20% - 强调文字颜色 3 2 3 7 2" xfId="9643"/>
    <cellStyle name="20% - 强调文字颜色 3 2 3 8" xfId="154"/>
    <cellStyle name="20% - 强调文字颜色 3 2 3 8 2" xfId="9642"/>
    <cellStyle name="20% - 强调文字颜色 3 2 3 9" xfId="4028"/>
    <cellStyle name="20% - 强调文字颜色 3 2 3 9 2" xfId="5710"/>
    <cellStyle name="20% - 强调文字颜色 3 2 4" xfId="155"/>
    <cellStyle name="20% - 强调文字颜色 3 2 4 2" xfId="156"/>
    <cellStyle name="20% - 强调文字颜色 3 2 4 2 2" xfId="6679"/>
    <cellStyle name="20% - 强调文字颜色 3 2 4 3" xfId="157"/>
    <cellStyle name="20% - 强调文字颜色 3 2 4 3 2" xfId="6675"/>
    <cellStyle name="20% - 强调文字颜色 3 2 4 4" xfId="158"/>
    <cellStyle name="20% - 强调文字颜色 3 2 4 4 2" xfId="9641"/>
    <cellStyle name="20% - 强调文字颜色 3 2 4 5" xfId="159"/>
    <cellStyle name="20% - 强调文字颜色 3 2 4 5 2" xfId="9640"/>
    <cellStyle name="20% - 强调文字颜色 3 2 4 6" xfId="160"/>
    <cellStyle name="20% - 强调文字颜色 3 2 4 6 2" xfId="9948"/>
    <cellStyle name="20% - 强调文字颜色 3 2 4 7" xfId="4032"/>
    <cellStyle name="20% - 强调文字颜色 3 2 4 7 2" xfId="5715"/>
    <cellStyle name="20% - 强调文字颜色 3 2 4 8" xfId="8868"/>
    <cellStyle name="20% - 强调文字颜色 3 2 5" xfId="161"/>
    <cellStyle name="20% - 强调文字颜色 3 2 5 2" xfId="162"/>
    <cellStyle name="20% - 强调文字颜色 3 2 5 2 2" xfId="6673"/>
    <cellStyle name="20% - 强调文字颜色 3 2 5 3" xfId="4033"/>
    <cellStyle name="20% - 强调文字颜色 3 2 5 3 2" xfId="5717"/>
    <cellStyle name="20% - 强调文字颜色 3 2 5 4" xfId="8867"/>
    <cellStyle name="20% - 强调文字颜色 3 2 6" xfId="163"/>
    <cellStyle name="20% - 强调文字颜色 3 2 6 2" xfId="8866"/>
    <cellStyle name="20% - 强调文字颜色 3 2 7" xfId="164"/>
    <cellStyle name="20% - 强调文字颜色 3 2 7 2" xfId="8865"/>
    <cellStyle name="20% - 强调文字颜色 3 2 8" xfId="165"/>
    <cellStyle name="20% - 强调文字颜色 3 2 8 2" xfId="9639"/>
    <cellStyle name="20% - 强调文字颜色 3 2 9" xfId="166"/>
    <cellStyle name="20% - 强调文字颜色 3 2 9 2" xfId="9638"/>
    <cellStyle name="20% - 强调文字颜色 3 3" xfId="167"/>
    <cellStyle name="20% - 强调文字颜色 3 3 2" xfId="168"/>
    <cellStyle name="20% - 强调文字颜色 3 3 2 2" xfId="169"/>
    <cellStyle name="20% - 强调文字颜色 3 3 2 2 2" xfId="9636"/>
    <cellStyle name="20% - 强调文字颜色 3 3 2 3" xfId="4035"/>
    <cellStyle name="20% - 强调文字颜色 3 3 2 3 2" xfId="5718"/>
    <cellStyle name="20% - 强调文字颜色 3 3 2 4" xfId="6672"/>
    <cellStyle name="20% - 强调文字颜色 3 3 2 5" xfId="9637"/>
    <cellStyle name="20% - 强调文字颜色 3 3 3" xfId="170"/>
    <cellStyle name="20% - 强调文字颜色 3 3 3 2" xfId="4036"/>
    <cellStyle name="20% - 强调文字颜色 3 3 3 2 2" xfId="6671"/>
    <cellStyle name="20% - 强调文字颜色 3 3 4" xfId="171"/>
    <cellStyle name="20% - 强调文字颜色 3 3 4 2" xfId="9947"/>
    <cellStyle name="20% - 强调文字颜色 3 3 5" xfId="172"/>
    <cellStyle name="20% - 强调文字颜色 3 3 5 2" xfId="9635"/>
    <cellStyle name="20% - 强调文字颜色 3 3 6" xfId="4034"/>
    <cellStyle name="20% - 强调文字颜色 3 4" xfId="173"/>
    <cellStyle name="20% - 强调文字颜色 3 4 2" xfId="4037"/>
    <cellStyle name="20% - 强调文字颜色 3 4 3" xfId="9634"/>
    <cellStyle name="20% - 强调文字颜色 4 2" xfId="174"/>
    <cellStyle name="20% - 强调文字颜色 4 2 10" xfId="4038"/>
    <cellStyle name="20% - 强调文字颜色 4 2 10 2" xfId="5719"/>
    <cellStyle name="20% - 强调文字颜色 4 2 2" xfId="175"/>
    <cellStyle name="20% - 强调文字颜色 4 2 2 2" xfId="176"/>
    <cellStyle name="20% - 强调文字颜色 4 2 2 2 2" xfId="177"/>
    <cellStyle name="20% - 强调文字颜色 4 2 2 2 2 2" xfId="178"/>
    <cellStyle name="20% - 强调文字颜色 4 2 2 2 2 2 2" xfId="9633"/>
    <cellStyle name="20% - 强调文字颜色 4 2 2 2 2 3" xfId="179"/>
    <cellStyle name="20% - 强调文字颜色 4 2 2 2 2 3 2" xfId="9632"/>
    <cellStyle name="20% - 强调文字颜色 4 2 2 2 2 4" xfId="180"/>
    <cellStyle name="20% - 强调文字颜色 4 2 2 2 2 4 2" xfId="9946"/>
    <cellStyle name="20% - 强调文字颜色 4 2 2 2 2 5" xfId="4041"/>
    <cellStyle name="20% - 强调文字颜色 4 2 2 2 2 5 2" xfId="6660"/>
    <cellStyle name="20% - 强调文字颜色 4 2 2 2 2 6" xfId="8863"/>
    <cellStyle name="20% - 强调文字颜色 4 2 2 2 3" xfId="181"/>
    <cellStyle name="20% - 强调文字颜色 4 2 2 2 3 2" xfId="8862"/>
    <cellStyle name="20% - 强调文字颜色 4 2 2 2 4" xfId="182"/>
    <cellStyle name="20% - 强调文字颜色 4 2 2 2 4 2" xfId="8861"/>
    <cellStyle name="20% - 强调文字颜色 4 2 2 2 5" xfId="183"/>
    <cellStyle name="20% - 强调文字颜色 4 2 2 2 5 2" xfId="9631"/>
    <cellStyle name="20% - 强调文字颜色 4 2 2 2 6" xfId="184"/>
    <cellStyle name="20% - 强调文字颜色 4 2 2 2 6 2" xfId="9630"/>
    <cellStyle name="20% - 强调文字颜色 4 2 2 2 7" xfId="4040"/>
    <cellStyle name="20% - 强调文字颜色 4 2 2 2 7 2" xfId="5721"/>
    <cellStyle name="20% - 强调文字颜色 4 2 2 2 8" xfId="8864"/>
    <cellStyle name="20% - 强调文字颜色 4 2 2 3" xfId="185"/>
    <cellStyle name="20% - 强调文字颜色 4 2 2 3 2" xfId="186"/>
    <cellStyle name="20% - 强调文字颜色 4 2 2 3 2 2" xfId="6653"/>
    <cellStyle name="20% - 强调文字颜色 4 2 2 3 3" xfId="187"/>
    <cellStyle name="20% - 强调文字颜色 4 2 2 3 3 2" xfId="9965"/>
    <cellStyle name="20% - 强调文字颜色 4 2 2 3 4" xfId="188"/>
    <cellStyle name="20% - 强调文字颜色 4 2 2 3 4 2" xfId="9945"/>
    <cellStyle name="20% - 强调文字颜色 4 2 2 3 5" xfId="4042"/>
    <cellStyle name="20% - 强调文字颜色 4 2 2 3 5 2" xfId="5723"/>
    <cellStyle name="20% - 强调文字颜色 4 2 2 3 6" xfId="8860"/>
    <cellStyle name="20% - 强调文字颜色 4 2 2 4" xfId="189"/>
    <cellStyle name="20% - 强调文字颜色 4 2 2 4 2" xfId="8859"/>
    <cellStyle name="20% - 强调文字颜色 4 2 2 4 3" xfId="9629"/>
    <cellStyle name="20% - 强调文字颜色 4 2 2 5" xfId="190"/>
    <cellStyle name="20% - 强调文字颜色 4 2 2 5 2" xfId="8858"/>
    <cellStyle name="20% - 强调文字颜色 4 2 2 6" xfId="191"/>
    <cellStyle name="20% - 强调文字颜色 4 2 2 6 2" xfId="8857"/>
    <cellStyle name="20% - 强调文字颜色 4 2 2 7" xfId="192"/>
    <cellStyle name="20% - 强调文字颜色 4 2 2 7 2" xfId="9628"/>
    <cellStyle name="20% - 强调文字颜色 4 2 2 8" xfId="4039"/>
    <cellStyle name="20% - 强调文字颜色 4 2 3" xfId="193"/>
    <cellStyle name="20% - 强调文字颜色 4 2 3 2" xfId="194"/>
    <cellStyle name="20% - 强调文字颜色 4 2 3 2 2" xfId="195"/>
    <cellStyle name="20% - 强调文字颜色 4 2 3 2 2 2" xfId="196"/>
    <cellStyle name="20% - 强调文字颜色 4 2 3 2 2 2 2" xfId="9430"/>
    <cellStyle name="20% - 强调文字颜色 4 2 3 2 2 3" xfId="197"/>
    <cellStyle name="20% - 强调文字颜色 4 2 3 2 2 3 2" xfId="9627"/>
    <cellStyle name="20% - 强调文字颜色 4 2 3 2 2 4" xfId="198"/>
    <cellStyle name="20% - 强调文字颜色 4 2 3 2 2 4 2" xfId="9626"/>
    <cellStyle name="20% - 强调文字颜色 4 2 3 2 2 5" xfId="4045"/>
    <cellStyle name="20% - 强调文字颜色 4 2 3 2 2 5 2" xfId="6649"/>
    <cellStyle name="20% - 强调文字颜色 4 2 3 2 2 6" xfId="8855"/>
    <cellStyle name="20% - 强调文字颜色 4 2 3 2 3" xfId="199"/>
    <cellStyle name="20% - 强调文字颜色 4 2 3 2 3 2" xfId="8854"/>
    <cellStyle name="20% - 强调文字颜色 4 2 3 2 4" xfId="200"/>
    <cellStyle name="20% - 强调文字颜色 4 2 3 2 4 2" xfId="8853"/>
    <cellStyle name="20% - 强调文字颜色 4 2 3 2 5" xfId="201"/>
    <cellStyle name="20% - 强调文字颜色 4 2 3 2 5 2" xfId="9625"/>
    <cellStyle name="20% - 强调文字颜色 4 2 3 2 6" xfId="202"/>
    <cellStyle name="20% - 强调文字颜色 4 2 3 2 6 2" xfId="9624"/>
    <cellStyle name="20% - 强调文字颜色 4 2 3 2 7" xfId="4044"/>
    <cellStyle name="20% - 强调文字颜色 4 2 3 2 7 2" xfId="5726"/>
    <cellStyle name="20% - 强调文字颜色 4 2 3 2 8" xfId="8856"/>
    <cellStyle name="20% - 强调文字颜色 4 2 3 3" xfId="203"/>
    <cellStyle name="20% - 强调文字颜色 4 2 3 3 2" xfId="204"/>
    <cellStyle name="20% - 强调文字颜色 4 2 3 3 2 2" xfId="6621"/>
    <cellStyle name="20% - 强调文字颜色 4 2 3 3 3" xfId="205"/>
    <cellStyle name="20% - 强调文字颜色 4 2 3 3 3 2" xfId="9623"/>
    <cellStyle name="20% - 强调文字颜色 4 2 3 3 4" xfId="206"/>
    <cellStyle name="20% - 强调文字颜色 4 2 3 3 4 2" xfId="9622"/>
    <cellStyle name="20% - 强调文字颜色 4 2 3 3 5" xfId="4046"/>
    <cellStyle name="20% - 强调文字颜色 4 2 3 3 5 2" xfId="5727"/>
    <cellStyle name="20% - 强调文字颜色 4 2 3 3 6" xfId="8852"/>
    <cellStyle name="20% - 强调文字颜色 4 2 3 4" xfId="207"/>
    <cellStyle name="20% - 强调文字颜色 4 2 3 4 2" xfId="6620"/>
    <cellStyle name="20% - 强调文字颜色 4 2 3 4 3" xfId="8851"/>
    <cellStyle name="20% - 强调文字颜色 4 2 3 5" xfId="208"/>
    <cellStyle name="20% - 强调文字颜色 4 2 3 5 2" xfId="8850"/>
    <cellStyle name="20% - 强调文字颜色 4 2 3 6" xfId="209"/>
    <cellStyle name="20% - 强调文字颜色 4 2 3 6 2" xfId="8849"/>
    <cellStyle name="20% - 强调文字颜色 4 2 3 7" xfId="210"/>
    <cellStyle name="20% - 强调文字颜色 4 2 3 7 2" xfId="9621"/>
    <cellStyle name="20% - 强调文字颜色 4 2 3 8" xfId="211"/>
    <cellStyle name="20% - 强调文字颜色 4 2 3 8 2" xfId="9620"/>
    <cellStyle name="20% - 强调文字颜色 4 2 3 9" xfId="4043"/>
    <cellStyle name="20% - 强调文字颜色 4 2 3 9 2" xfId="5725"/>
    <cellStyle name="20% - 强调文字颜色 4 2 4" xfId="212"/>
    <cellStyle name="20% - 强调文字颜色 4 2 4 2" xfId="213"/>
    <cellStyle name="20% - 强调文字颜色 4 2 4 2 2" xfId="6615"/>
    <cellStyle name="20% - 强调文字颜色 4 2 4 3" xfId="214"/>
    <cellStyle name="20% - 强调文字颜色 4 2 4 3 2" xfId="6614"/>
    <cellStyle name="20% - 强调文字颜色 4 2 4 4" xfId="215"/>
    <cellStyle name="20% - 强调文字颜色 4 2 4 4 2" xfId="9619"/>
    <cellStyle name="20% - 强调文字颜色 4 2 4 5" xfId="216"/>
    <cellStyle name="20% - 强调文字颜色 4 2 4 5 2" xfId="9618"/>
    <cellStyle name="20% - 强调文字颜色 4 2 4 6" xfId="217"/>
    <cellStyle name="20% - 强调文字颜色 4 2 4 6 2" xfId="9617"/>
    <cellStyle name="20% - 强调文字颜色 4 2 4 7" xfId="4047"/>
    <cellStyle name="20% - 强调文字颜色 4 2 4 7 2" xfId="5729"/>
    <cellStyle name="20% - 强调文字颜色 4 2 4 8" xfId="8848"/>
    <cellStyle name="20% - 强调文字颜色 4 2 5" xfId="218"/>
    <cellStyle name="20% - 强调文字颜色 4 2 5 2" xfId="219"/>
    <cellStyle name="20% - 强调文字颜色 4 2 5 2 2" xfId="6605"/>
    <cellStyle name="20% - 强调文字颜色 4 2 5 3" xfId="4048"/>
    <cellStyle name="20% - 强调文字颜色 4 2 5 3 2" xfId="5732"/>
    <cellStyle name="20% - 强调文字颜色 4 2 5 4" xfId="8847"/>
    <cellStyle name="20% - 强调文字颜色 4 2 6" xfId="220"/>
    <cellStyle name="20% - 强调文字颜色 4 2 6 2" xfId="8846"/>
    <cellStyle name="20% - 强调文字颜色 4 2 7" xfId="221"/>
    <cellStyle name="20% - 强调文字颜色 4 2 7 2" xfId="8845"/>
    <cellStyle name="20% - 强调文字颜色 4 2 8" xfId="222"/>
    <cellStyle name="20% - 强调文字颜色 4 2 8 2" xfId="9616"/>
    <cellStyle name="20% - 强调文字颜色 4 2 9" xfId="223"/>
    <cellStyle name="20% - 强调文字颜色 4 2 9 2" xfId="9615"/>
    <cellStyle name="20% - 强调文字颜色 4 3" xfId="224"/>
    <cellStyle name="20% - 强调文字颜色 4 3 2" xfId="225"/>
    <cellStyle name="20% - 强调文字颜色 4 3 2 2" xfId="226"/>
    <cellStyle name="20% - 强调文字颜色 4 3 2 2 2" xfId="9613"/>
    <cellStyle name="20% - 强调文字颜色 4 3 2 3" xfId="4050"/>
    <cellStyle name="20% - 强调文字颜色 4 3 2 3 2" xfId="5733"/>
    <cellStyle name="20% - 强调文字颜色 4 3 2 4" xfId="6601"/>
    <cellStyle name="20% - 强调文字颜色 4 3 2 5" xfId="9614"/>
    <cellStyle name="20% - 强调文字颜色 4 3 3" xfId="227"/>
    <cellStyle name="20% - 强调文字颜色 4 3 3 2" xfId="4051"/>
    <cellStyle name="20% - 强调文字颜色 4 3 3 2 2" xfId="6593"/>
    <cellStyle name="20% - 强调文字颜色 4 3 4" xfId="228"/>
    <cellStyle name="20% - 强调文字颜色 4 3 4 2" xfId="9612"/>
    <cellStyle name="20% - 强调文字颜色 4 3 5" xfId="229"/>
    <cellStyle name="20% - 强调文字颜色 4 3 5 2" xfId="9611"/>
    <cellStyle name="20% - 强调文字颜色 4 3 6" xfId="4049"/>
    <cellStyle name="20% - 强调文字颜色 4 4" xfId="230"/>
    <cellStyle name="20% - 强调文字颜色 4 4 2" xfId="4052"/>
    <cellStyle name="20% - 强调文字颜色 4 4 3" xfId="9610"/>
    <cellStyle name="20% - 强调文字颜色 5 2" xfId="231"/>
    <cellStyle name="20% - 强调文字颜色 5 2 10" xfId="4053"/>
    <cellStyle name="20% - 强调文字颜色 5 2 10 2" xfId="5735"/>
    <cellStyle name="20% - 强调文字颜色 5 2 2" xfId="232"/>
    <cellStyle name="20% - 强调文字颜色 5 2 2 2" xfId="233"/>
    <cellStyle name="20% - 强调文字颜色 5 2 2 2 2" xfId="234"/>
    <cellStyle name="20% - 强调文字颜色 5 2 2 2 2 2" xfId="235"/>
    <cellStyle name="20% - 强调文字颜色 5 2 2 2 2 2 2" xfId="9609"/>
    <cellStyle name="20% - 强调文字颜色 5 2 2 2 2 3" xfId="236"/>
    <cellStyle name="20% - 强调文字颜色 5 2 2 2 2 3 2" xfId="9090"/>
    <cellStyle name="20% - 强调文字颜色 5 2 2 2 2 4" xfId="237"/>
    <cellStyle name="20% - 强调文字颜色 5 2 2 2 2 4 2" xfId="9608"/>
    <cellStyle name="20% - 强调文字颜色 5 2 2 2 2 5" xfId="4056"/>
    <cellStyle name="20% - 强调文字颜色 5 2 2 2 2 5 2" xfId="6580"/>
    <cellStyle name="20% - 强调文字颜色 5 2 2 2 2 6" xfId="8843"/>
    <cellStyle name="20% - 强调文字颜色 5 2 2 2 3" xfId="238"/>
    <cellStyle name="20% - 强调文字颜色 5 2 2 2 3 2" xfId="8842"/>
    <cellStyle name="20% - 强调文字颜色 5 2 2 2 4" xfId="239"/>
    <cellStyle name="20% - 强调文字颜色 5 2 2 2 4 2" xfId="8841"/>
    <cellStyle name="20% - 强调文字颜色 5 2 2 2 5" xfId="240"/>
    <cellStyle name="20% - 强调文字颜色 5 2 2 2 5 2" xfId="9607"/>
    <cellStyle name="20% - 强调文字颜色 5 2 2 2 6" xfId="241"/>
    <cellStyle name="20% - 强调文字颜色 5 2 2 2 6 2" xfId="9606"/>
    <cellStyle name="20% - 强调文字颜色 5 2 2 2 7" xfId="4055"/>
    <cellStyle name="20% - 强调文字颜色 5 2 2 2 7 2" xfId="5737"/>
    <cellStyle name="20% - 强调文字颜色 5 2 2 2 8" xfId="8844"/>
    <cellStyle name="20% - 强调文字颜色 5 2 2 3" xfId="242"/>
    <cellStyle name="20% - 强调文字颜色 5 2 2 3 2" xfId="243"/>
    <cellStyle name="20% - 强调文字颜色 5 2 2 3 2 2" xfId="6571"/>
    <cellStyle name="20% - 强调文字颜色 5 2 2 3 3" xfId="244"/>
    <cellStyle name="20% - 强调文字颜色 5 2 2 3 3 2" xfId="9605"/>
    <cellStyle name="20% - 强调文字颜色 5 2 2 3 4" xfId="245"/>
    <cellStyle name="20% - 强调文字颜色 5 2 2 3 4 2" xfId="9085"/>
    <cellStyle name="20% - 强调文字颜色 5 2 2 3 5" xfId="4057"/>
    <cellStyle name="20% - 强调文字颜色 5 2 2 3 5 2" xfId="5738"/>
    <cellStyle name="20% - 强调文字颜色 5 2 2 3 6" xfId="8840"/>
    <cellStyle name="20% - 强调文字颜色 5 2 2 4" xfId="246"/>
    <cellStyle name="20% - 强调文字颜色 5 2 2 4 2" xfId="8839"/>
    <cellStyle name="20% - 强调文字颜色 5 2 2 4 3" xfId="9604"/>
    <cellStyle name="20% - 强调文字颜色 5 2 2 5" xfId="247"/>
    <cellStyle name="20% - 强调文字颜色 5 2 2 5 2" xfId="8838"/>
    <cellStyle name="20% - 强调文字颜色 5 2 2 6" xfId="248"/>
    <cellStyle name="20% - 强调文字颜色 5 2 2 6 2" xfId="8837"/>
    <cellStyle name="20% - 强调文字颜色 5 2 2 7" xfId="249"/>
    <cellStyle name="20% - 强调文字颜色 5 2 2 7 2" xfId="9603"/>
    <cellStyle name="20% - 强调文字颜色 5 2 2 8" xfId="4054"/>
    <cellStyle name="20% - 强调文字颜色 5 2 3" xfId="250"/>
    <cellStyle name="20% - 强调文字颜色 5 2 3 2" xfId="251"/>
    <cellStyle name="20% - 强调文字颜色 5 2 3 2 2" xfId="252"/>
    <cellStyle name="20% - 强调文字颜色 5 2 3 2 2 2" xfId="253"/>
    <cellStyle name="20% - 强调文字颜色 5 2 3 2 2 2 2" xfId="9602"/>
    <cellStyle name="20% - 强调文字颜色 5 2 3 2 2 3" xfId="254"/>
    <cellStyle name="20% - 强调文字颜色 5 2 3 2 2 3 2" xfId="9078"/>
    <cellStyle name="20% - 强调文字颜色 5 2 3 2 2 4" xfId="255"/>
    <cellStyle name="20% - 强调文字颜色 5 2 3 2 2 4 2" xfId="9601"/>
    <cellStyle name="20% - 强调文字颜色 5 2 3 2 2 5" xfId="4060"/>
    <cellStyle name="20% - 强调文字颜色 5 2 3 2 2 5 2" xfId="5921"/>
    <cellStyle name="20% - 强调文字颜色 5 2 3 2 2 6" xfId="8835"/>
    <cellStyle name="20% - 强调文字颜色 5 2 3 2 3" xfId="256"/>
    <cellStyle name="20% - 强调文字颜色 5 2 3 2 3 2" xfId="8834"/>
    <cellStyle name="20% - 强调文字颜色 5 2 3 2 4" xfId="257"/>
    <cellStyle name="20% - 强调文字颜色 5 2 3 2 4 2" xfId="8833"/>
    <cellStyle name="20% - 强调文字颜色 5 2 3 2 5" xfId="258"/>
    <cellStyle name="20% - 强调文字颜色 5 2 3 2 5 2" xfId="9600"/>
    <cellStyle name="20% - 强调文字颜色 5 2 3 2 6" xfId="259"/>
    <cellStyle name="20% - 强调文字颜色 5 2 3 2 6 2" xfId="9599"/>
    <cellStyle name="20% - 强调文字颜色 5 2 3 2 7" xfId="4059"/>
    <cellStyle name="20% - 强调文字颜色 5 2 3 2 7 2" xfId="5741"/>
    <cellStyle name="20% - 强调文字颜色 5 2 3 2 8" xfId="8836"/>
    <cellStyle name="20% - 强调文字颜色 5 2 3 3" xfId="260"/>
    <cellStyle name="20% - 强调文字颜色 5 2 3 3 2" xfId="261"/>
    <cellStyle name="20% - 强调文字颜色 5 2 3 3 2 2" xfId="5919"/>
    <cellStyle name="20% - 强调文字颜色 5 2 3 3 3" xfId="262"/>
    <cellStyle name="20% - 强调文字颜色 5 2 3 3 3 2" xfId="9598"/>
    <cellStyle name="20% - 强调文字颜色 5 2 3 3 4" xfId="263"/>
    <cellStyle name="20% - 强调文字颜色 5 2 3 3 4 2" xfId="9597"/>
    <cellStyle name="20% - 强调文字颜色 5 2 3 3 5" xfId="4061"/>
    <cellStyle name="20% - 强调文字颜色 5 2 3 3 5 2" xfId="5743"/>
    <cellStyle name="20% - 强调文字颜色 5 2 3 3 6" xfId="8832"/>
    <cellStyle name="20% - 强调文字颜色 5 2 3 4" xfId="264"/>
    <cellStyle name="20% - 强调文字颜色 5 2 3 4 2" xfId="5862"/>
    <cellStyle name="20% - 强调文字颜色 5 2 3 4 3" xfId="8831"/>
    <cellStyle name="20% - 强调文字颜色 5 2 3 5" xfId="265"/>
    <cellStyle name="20% - 强调文字颜色 5 2 3 5 2" xfId="8830"/>
    <cellStyle name="20% - 强调文字颜色 5 2 3 6" xfId="266"/>
    <cellStyle name="20% - 强调文字颜色 5 2 3 6 2" xfId="8829"/>
    <cellStyle name="20% - 强调文字颜色 5 2 3 7" xfId="267"/>
    <cellStyle name="20% - 强调文字颜色 5 2 3 7 2" xfId="9038"/>
    <cellStyle name="20% - 强调文字颜色 5 2 3 8" xfId="268"/>
    <cellStyle name="20% - 强调文字颜色 5 2 3 8 2" xfId="9596"/>
    <cellStyle name="20% - 强调文字颜色 5 2 3 9" xfId="4058"/>
    <cellStyle name="20% - 强调文字颜色 5 2 3 9 2" xfId="5740"/>
    <cellStyle name="20% - 强调文字颜色 5 2 4" xfId="269"/>
    <cellStyle name="20% - 强调文字颜色 5 2 4 2" xfId="270"/>
    <cellStyle name="20% - 强调文字颜色 5 2 4 2 2" xfId="5859"/>
    <cellStyle name="20% - 强调文字颜色 5 2 4 3" xfId="271"/>
    <cellStyle name="20% - 强调文字颜色 5 2 4 3 2" xfId="5858"/>
    <cellStyle name="20% - 强调文字颜色 5 2 4 4" xfId="272"/>
    <cellStyle name="20% - 强调文字颜色 5 2 4 4 2" xfId="9595"/>
    <cellStyle name="20% - 强调文字颜色 5 2 4 5" xfId="273"/>
    <cellStyle name="20% - 强调文字颜色 5 2 4 5 2" xfId="4899"/>
    <cellStyle name="20% - 强调文字颜色 5 2 4 6" xfId="274"/>
    <cellStyle name="20% - 强调文字颜色 5 2 4 6 2" xfId="9594"/>
    <cellStyle name="20% - 强调文字颜色 5 2 4 7" xfId="4062"/>
    <cellStyle name="20% - 强调文字颜色 5 2 4 7 2" xfId="5745"/>
    <cellStyle name="20% - 强调文字颜色 5 2 4 8" xfId="8828"/>
    <cellStyle name="20% - 强调文字颜色 5 2 5" xfId="275"/>
    <cellStyle name="20% - 强调文字颜色 5 2 5 2" xfId="276"/>
    <cellStyle name="20% - 强调文字颜色 5 2 5 2 2" xfId="5855"/>
    <cellStyle name="20% - 强调文字颜色 5 2 5 3" xfId="4063"/>
    <cellStyle name="20% - 强调文字颜色 5 2 5 3 2" xfId="5748"/>
    <cellStyle name="20% - 强调文字颜色 5 2 5 4" xfId="8827"/>
    <cellStyle name="20% - 强调文字颜色 5 2 6" xfId="277"/>
    <cellStyle name="20% - 强调文字颜色 5 2 6 2" xfId="8826"/>
    <cellStyle name="20% - 强调文字颜色 5 2 7" xfId="278"/>
    <cellStyle name="20% - 强调文字颜色 5 2 7 2" xfId="8825"/>
    <cellStyle name="20% - 强调文字颜色 5 2 8" xfId="279"/>
    <cellStyle name="20% - 强调文字颜色 5 2 8 2" xfId="4886"/>
    <cellStyle name="20% - 强调文字颜色 5 2 9" xfId="280"/>
    <cellStyle name="20% - 强调文字颜色 5 2 9 2" xfId="4887"/>
    <cellStyle name="20% - 强调文字颜色 5 3" xfId="281"/>
    <cellStyle name="20% - 强调文字颜色 5 3 2" xfId="282"/>
    <cellStyle name="20% - 强调文字颜色 5 3 2 2" xfId="283"/>
    <cellStyle name="20% - 强调文字颜色 5 3 2 2 2" xfId="9592"/>
    <cellStyle name="20% - 强调文字颜色 5 3 2 3" xfId="4065"/>
    <cellStyle name="20% - 强调文字颜色 5 3 2 3 2" xfId="5749"/>
    <cellStyle name="20% - 强调文字颜色 5 3 2 4" xfId="5850"/>
    <cellStyle name="20% - 强调文字颜色 5 3 2 5" xfId="9593"/>
    <cellStyle name="20% - 强调文字颜色 5 3 3" xfId="284"/>
    <cellStyle name="20% - 强调文字颜色 5 3 3 2" xfId="4066"/>
    <cellStyle name="20% - 强调文字颜色 5 3 3 2 2" xfId="5848"/>
    <cellStyle name="20% - 强调文字颜色 5 3 4" xfId="285"/>
    <cellStyle name="20% - 强调文字颜色 5 3 4 2" xfId="9591"/>
    <cellStyle name="20% - 强调文字颜色 5 3 5" xfId="286"/>
    <cellStyle name="20% - 强调文字颜色 5 3 5 2" xfId="9590"/>
    <cellStyle name="20% - 强调文字颜色 5 3 6" xfId="4064"/>
    <cellStyle name="20% - 强调文字颜色 5 4" xfId="287"/>
    <cellStyle name="20% - 强调文字颜色 5 4 2" xfId="4067"/>
    <cellStyle name="20% - 强调文字颜色 5 4 3" xfId="4888"/>
    <cellStyle name="20% - 强调文字颜色 6 2" xfId="288"/>
    <cellStyle name="20% - 强调文字颜色 6 2 10" xfId="4068"/>
    <cellStyle name="20% - 强调文字颜色 6 2 10 2" xfId="5750"/>
    <cellStyle name="20% - 强调文字颜色 6 2 2" xfId="289"/>
    <cellStyle name="20% - 强调文字颜色 6 2 2 2" xfId="290"/>
    <cellStyle name="20% - 强调文字颜色 6 2 2 2 2" xfId="291"/>
    <cellStyle name="20% - 强调文字颜色 6 2 2 2 2 2" xfId="292"/>
    <cellStyle name="20% - 强调文字颜色 6 2 2 2 2 2 2" xfId="4889"/>
    <cellStyle name="20% - 强调文字颜色 6 2 2 2 2 3" xfId="293"/>
    <cellStyle name="20% - 强调文字颜色 6 2 2 2 2 3 2" xfId="9589"/>
    <cellStyle name="20% - 强调文字颜色 6 2 2 2 2 4" xfId="294"/>
    <cellStyle name="20% - 强调文字颜色 6 2 2 2 2 4 2" xfId="9588"/>
    <cellStyle name="20% - 强调文字颜色 6 2 2 2 2 5" xfId="4071"/>
    <cellStyle name="20% - 强调文字颜色 6 2 2 2 2 5 2" xfId="5841"/>
    <cellStyle name="20% - 强调文字颜色 6 2 2 2 2 6" xfId="8823"/>
    <cellStyle name="20% - 强调文字颜色 6 2 2 2 3" xfId="295"/>
    <cellStyle name="20% - 强调文字颜色 6 2 2 2 3 2" xfId="8822"/>
    <cellStyle name="20% - 强调文字颜色 6 2 2 2 4" xfId="296"/>
    <cellStyle name="20% - 强调文字颜色 6 2 2 2 4 2" xfId="8821"/>
    <cellStyle name="20% - 强调文字颜色 6 2 2 2 5" xfId="297"/>
    <cellStyle name="20% - 强调文字颜色 6 2 2 2 5 2" xfId="9587"/>
    <cellStyle name="20% - 强调文字颜色 6 2 2 2 6" xfId="298"/>
    <cellStyle name="20% - 强调文字颜色 6 2 2 2 6 2" xfId="9586"/>
    <cellStyle name="20% - 强调文字颜色 6 2 2 2 7" xfId="4070"/>
    <cellStyle name="20% - 强调文字颜色 6 2 2 2 7 2" xfId="5752"/>
    <cellStyle name="20% - 强调文字颜色 6 2 2 2 8" xfId="8824"/>
    <cellStyle name="20% - 强调文字颜色 6 2 2 3" xfId="299"/>
    <cellStyle name="20% - 强调文字颜色 6 2 2 3 2" xfId="300"/>
    <cellStyle name="20% - 强调文字颜色 6 2 2 3 2 2" xfId="5839"/>
    <cellStyle name="20% - 强调文字颜色 6 2 2 3 3" xfId="301"/>
    <cellStyle name="20% - 强调文字颜色 6 2 2 3 3 2" xfId="4890"/>
    <cellStyle name="20% - 强调文字颜色 6 2 2 3 4" xfId="302"/>
    <cellStyle name="20% - 强调文字颜色 6 2 2 3 4 2" xfId="9585"/>
    <cellStyle name="20% - 强调文字颜色 6 2 2 3 5" xfId="4072"/>
    <cellStyle name="20% - 强调文字颜色 6 2 2 3 5 2" xfId="5754"/>
    <cellStyle name="20% - 强调文字颜色 6 2 2 3 6" xfId="8820"/>
    <cellStyle name="20% - 强调文字颜色 6 2 2 4" xfId="303"/>
    <cellStyle name="20% - 强调文字颜色 6 2 2 4 2" xfId="8819"/>
    <cellStyle name="20% - 强调文字颜色 6 2 2 4 3" xfId="9584"/>
    <cellStyle name="20% - 强调文字颜色 6 2 2 5" xfId="304"/>
    <cellStyle name="20% - 强调文字颜色 6 2 2 5 2" xfId="8818"/>
    <cellStyle name="20% - 强调文字颜色 6 2 2 6" xfId="305"/>
    <cellStyle name="20% - 强调文字颜色 6 2 2 6 2" xfId="8817"/>
    <cellStyle name="20% - 强调文字颜色 6 2 2 7" xfId="306"/>
    <cellStyle name="20% - 强调文字颜色 6 2 2 7 2" xfId="9583"/>
    <cellStyle name="20% - 强调文字颜色 6 2 2 8" xfId="4069"/>
    <cellStyle name="20% - 强调文字颜色 6 2 3" xfId="307"/>
    <cellStyle name="20% - 强调文字颜色 6 2 3 2" xfId="308"/>
    <cellStyle name="20% - 强调文字颜色 6 2 3 2 2" xfId="309"/>
    <cellStyle name="20% - 强调文字颜色 6 2 3 2 2 2" xfId="310"/>
    <cellStyle name="20% - 强调文字颜色 6 2 3 2 2 2 2" xfId="4891"/>
    <cellStyle name="20% - 强调文字颜色 6 2 3 2 2 3" xfId="311"/>
    <cellStyle name="20% - 强调文字颜色 6 2 3 2 2 3 2" xfId="9582"/>
    <cellStyle name="20% - 强调文字颜色 6 2 3 2 2 4" xfId="312"/>
    <cellStyle name="20% - 强调文字颜色 6 2 3 2 2 4 2" xfId="9581"/>
    <cellStyle name="20% - 强调文字颜色 6 2 3 2 2 5" xfId="4075"/>
    <cellStyle name="20% - 强调文字颜色 6 2 3 2 2 5 2" xfId="5833"/>
    <cellStyle name="20% - 强调文字颜色 6 2 3 2 2 6" xfId="8815"/>
    <cellStyle name="20% - 强调文字颜色 6 2 3 2 3" xfId="313"/>
    <cellStyle name="20% - 强调文字颜色 6 2 3 2 3 2" xfId="8814"/>
    <cellStyle name="20% - 强调文字颜色 6 2 3 2 4" xfId="314"/>
    <cellStyle name="20% - 强调文字颜色 6 2 3 2 4 2" xfId="8813"/>
    <cellStyle name="20% - 强调文字颜色 6 2 3 2 5" xfId="315"/>
    <cellStyle name="20% - 强调文字颜色 6 2 3 2 5 2" xfId="9580"/>
    <cellStyle name="20% - 强调文字颜色 6 2 3 2 6" xfId="316"/>
    <cellStyle name="20% - 强调文字颜色 6 2 3 2 6 2" xfId="9579"/>
    <cellStyle name="20% - 强调文字颜色 6 2 3 2 7" xfId="4074"/>
    <cellStyle name="20% - 强调文字颜色 6 2 3 2 7 2" xfId="5757"/>
    <cellStyle name="20% - 强调文字颜色 6 2 3 2 8" xfId="8816"/>
    <cellStyle name="20% - 强调文字颜色 6 2 3 3" xfId="317"/>
    <cellStyle name="20% - 强调文字颜色 6 2 3 3 2" xfId="318"/>
    <cellStyle name="20% - 强调文字颜色 6 2 3 3 2 2" xfId="5830"/>
    <cellStyle name="20% - 强调文字颜色 6 2 3 3 3" xfId="319"/>
    <cellStyle name="20% - 强调文字颜色 6 2 3 3 3 2" xfId="4892"/>
    <cellStyle name="20% - 强调文字颜色 6 2 3 3 4" xfId="320"/>
    <cellStyle name="20% - 强调文字颜色 6 2 3 3 4 2" xfId="9578"/>
    <cellStyle name="20% - 强调文字颜色 6 2 3 3 5" xfId="4076"/>
    <cellStyle name="20% - 强调文字颜色 6 2 3 3 5 2" xfId="5758"/>
    <cellStyle name="20% - 强调文字颜色 6 2 3 3 6" xfId="8812"/>
    <cellStyle name="20% - 强调文字颜色 6 2 3 4" xfId="321"/>
    <cellStyle name="20% - 强调文字颜色 6 2 3 4 2" xfId="5828"/>
    <cellStyle name="20% - 强调文字颜色 6 2 3 4 3" xfId="8811"/>
    <cellStyle name="20% - 强调文字颜色 6 2 3 5" xfId="322"/>
    <cellStyle name="20% - 强调文字颜色 6 2 3 5 2" xfId="8810"/>
    <cellStyle name="20% - 强调文字颜色 6 2 3 6" xfId="323"/>
    <cellStyle name="20% - 强调文字颜色 6 2 3 6 2" xfId="8809"/>
    <cellStyle name="20% - 强调文字颜色 6 2 3 7" xfId="324"/>
    <cellStyle name="20% - 强调文字颜色 6 2 3 7 2" xfId="9577"/>
    <cellStyle name="20% - 强调文字颜色 6 2 3 8" xfId="325"/>
    <cellStyle name="20% - 强调文字颜色 6 2 3 8 2" xfId="9576"/>
    <cellStyle name="20% - 强调文字颜色 6 2 3 9" xfId="4073"/>
    <cellStyle name="20% - 强调文字颜色 6 2 3 9 2" xfId="5756"/>
    <cellStyle name="20% - 强调文字颜色 6 2 4" xfId="326"/>
    <cellStyle name="20% - 强调文字颜色 6 2 4 2" xfId="327"/>
    <cellStyle name="20% - 强调文字颜色 6 2 4 2 2" xfId="5824"/>
    <cellStyle name="20% - 强调文字颜色 6 2 4 3" xfId="328"/>
    <cellStyle name="20% - 强调文字颜色 6 2 4 3 2" xfId="5823"/>
    <cellStyle name="20% - 强调文字颜色 6 2 4 4" xfId="329"/>
    <cellStyle name="20% - 强调文字颜色 6 2 4 4 2" xfId="4893"/>
    <cellStyle name="20% - 强调文字颜色 6 2 4 5" xfId="330"/>
    <cellStyle name="20% - 强调文字颜色 6 2 4 5 2" xfId="9575"/>
    <cellStyle name="20% - 强调文字颜色 6 2 4 6" xfId="331"/>
    <cellStyle name="20% - 强调文字颜色 6 2 4 6 2" xfId="9574"/>
    <cellStyle name="20% - 强调文字颜色 6 2 4 7" xfId="4077"/>
    <cellStyle name="20% - 强调文字颜色 6 2 4 7 2" xfId="5761"/>
    <cellStyle name="20% - 强调文字颜色 6 2 4 8" xfId="8808"/>
    <cellStyle name="20% - 强调文字颜色 6 2 5" xfId="332"/>
    <cellStyle name="20% - 强调文字颜色 6 2 5 2" xfId="333"/>
    <cellStyle name="20% - 强调文字颜色 6 2 5 2 2" xfId="5821"/>
    <cellStyle name="20% - 强调文字颜色 6 2 5 3" xfId="4078"/>
    <cellStyle name="20% - 强调文字颜色 6 2 5 3 2" xfId="5764"/>
    <cellStyle name="20% - 强调文字颜色 6 2 5 4" xfId="8807"/>
    <cellStyle name="20% - 强调文字颜色 6 2 6" xfId="334"/>
    <cellStyle name="20% - 强调文字颜色 6 2 6 2" xfId="8806"/>
    <cellStyle name="20% - 强调文字颜色 6 2 7" xfId="335"/>
    <cellStyle name="20% - 强调文字颜色 6 2 7 2" xfId="8805"/>
    <cellStyle name="20% - 强调文字颜色 6 2 8" xfId="336"/>
    <cellStyle name="20% - 强调文字颜色 6 2 8 2" xfId="4894"/>
    <cellStyle name="20% - 强调文字颜色 6 2 9" xfId="337"/>
    <cellStyle name="20% - 强调文字颜色 6 2 9 2" xfId="9573"/>
    <cellStyle name="20% - 强调文字颜色 6 3" xfId="338"/>
    <cellStyle name="20% - 强调文字颜色 6 3 2" xfId="339"/>
    <cellStyle name="20% - 强调文字颜色 6 3 2 2" xfId="340"/>
    <cellStyle name="20% - 强调文字颜色 6 3 2 2 2" xfId="9571"/>
    <cellStyle name="20% - 强调文字颜色 6 3 2 3" xfId="4080"/>
    <cellStyle name="20% - 强调文字颜色 6 3 2 3 2" xfId="5765"/>
    <cellStyle name="20% - 强调文字颜色 6 3 2 4" xfId="5817"/>
    <cellStyle name="20% - 强调文字颜色 6 3 2 5" xfId="9572"/>
    <cellStyle name="20% - 强调文字颜色 6 3 3" xfId="341"/>
    <cellStyle name="20% - 强调文字颜色 6 3 3 2" xfId="4081"/>
    <cellStyle name="20% - 强调文字颜色 6 3 3 2 2" xfId="5815"/>
    <cellStyle name="20% - 强调文字颜色 6 3 4" xfId="342"/>
    <cellStyle name="20% - 强调文字颜色 6 3 4 2" xfId="4895"/>
    <cellStyle name="20% - 强调文字颜色 6 3 5" xfId="343"/>
    <cellStyle name="20% - 强调文字颜色 6 3 5 2" xfId="9570"/>
    <cellStyle name="20% - 强调文字颜色 6 3 6" xfId="4079"/>
    <cellStyle name="20% - 强调文字颜色 6 4" xfId="344"/>
    <cellStyle name="20% - 强调文字颜色 6 4 2" xfId="4082"/>
    <cellStyle name="20% - 强调文字颜色 6 4 3" xfId="9569"/>
    <cellStyle name="40% - 强调文字颜色 1 2" xfId="345"/>
    <cellStyle name="40% - 强调文字颜色 1 2 10" xfId="4083"/>
    <cellStyle name="40% - 强调文字颜色 1 2 10 2" xfId="5767"/>
    <cellStyle name="40% - 强调文字颜色 1 2 2" xfId="346"/>
    <cellStyle name="40% - 强调文字颜色 1 2 2 2" xfId="347"/>
    <cellStyle name="40% - 强调文字颜色 1 2 2 2 2" xfId="348"/>
    <cellStyle name="40% - 强调文字颜色 1 2 2 2 2 2" xfId="349"/>
    <cellStyle name="40% - 强调文字颜色 1 2 2 2 2 2 2" xfId="9568"/>
    <cellStyle name="40% - 强调文字颜色 1 2 2 2 2 3" xfId="350"/>
    <cellStyle name="40% - 强调文字颜色 1 2 2 2 2 3 2" xfId="9567"/>
    <cellStyle name="40% - 强调文字颜色 1 2 2 2 2 4" xfId="351"/>
    <cellStyle name="40% - 强调文字颜色 1 2 2 2 2 4 2" xfId="4896"/>
    <cellStyle name="40% - 强调文字颜色 1 2 2 2 2 5" xfId="4086"/>
    <cellStyle name="40% - 强调文字颜色 1 2 2 2 2 5 2" xfId="5808"/>
    <cellStyle name="40% - 强调文字颜色 1 2 2 2 2 6" xfId="8803"/>
    <cellStyle name="40% - 强调文字颜色 1 2 2 2 3" xfId="352"/>
    <cellStyle name="40% - 强调文字颜色 1 2 2 2 3 2" xfId="8802"/>
    <cellStyle name="40% - 强调文字颜色 1 2 2 2 4" xfId="353"/>
    <cellStyle name="40% - 强调文字颜色 1 2 2 2 4 2" xfId="8801"/>
    <cellStyle name="40% - 强调文字颜色 1 2 2 2 5" xfId="354"/>
    <cellStyle name="40% - 强调文字颜色 1 2 2 2 5 2" xfId="9566"/>
    <cellStyle name="40% - 强调文字颜色 1 2 2 2 6" xfId="355"/>
    <cellStyle name="40% - 强调文字颜色 1 2 2 2 6 2" xfId="9565"/>
    <cellStyle name="40% - 强调文字颜色 1 2 2 2 7" xfId="4085"/>
    <cellStyle name="40% - 强调文字颜色 1 2 2 2 7 2" xfId="5769"/>
    <cellStyle name="40% - 强调文字颜色 1 2 2 2 8" xfId="8804"/>
    <cellStyle name="40% - 强调文字颜色 1 2 2 3" xfId="356"/>
    <cellStyle name="40% - 强调文字颜色 1 2 2 3 2" xfId="357"/>
    <cellStyle name="40% - 强调文字颜色 1 2 2 3 2 2" xfId="5806"/>
    <cellStyle name="40% - 强调文字颜色 1 2 2 3 3" xfId="358"/>
    <cellStyle name="40% - 强调文字颜色 1 2 2 3 3 2" xfId="9564"/>
    <cellStyle name="40% - 强调文字颜色 1 2 2 3 4" xfId="359"/>
    <cellStyle name="40% - 强调文字颜色 1 2 2 3 4 2" xfId="9563"/>
    <cellStyle name="40% - 强调文字颜色 1 2 2 3 5" xfId="4087"/>
    <cellStyle name="40% - 强调文字颜色 1 2 2 3 5 2" xfId="5770"/>
    <cellStyle name="40% - 强调文字颜色 1 2 2 3 6" xfId="8800"/>
    <cellStyle name="40% - 强调文字颜色 1 2 2 4" xfId="360"/>
    <cellStyle name="40% - 强调文字颜色 1 2 2 4 2" xfId="8799"/>
    <cellStyle name="40% - 强调文字颜色 1 2 2 4 3" xfId="4897"/>
    <cellStyle name="40% - 强调文字颜色 1 2 2 5" xfId="361"/>
    <cellStyle name="40% - 强调文字颜色 1 2 2 5 2" xfId="8798"/>
    <cellStyle name="40% - 强调文字颜色 1 2 2 6" xfId="362"/>
    <cellStyle name="40% - 强调文字颜色 1 2 2 6 2" xfId="8797"/>
    <cellStyle name="40% - 强调文字颜色 1 2 2 7" xfId="363"/>
    <cellStyle name="40% - 强调文字颜色 1 2 2 7 2" xfId="9562"/>
    <cellStyle name="40% - 强调文字颜色 1 2 2 8" xfId="4084"/>
    <cellStyle name="40% - 强调文字颜色 1 2 3" xfId="364"/>
    <cellStyle name="40% - 强调文字颜色 1 2 3 2" xfId="365"/>
    <cellStyle name="40% - 强调文字颜色 1 2 3 2 2" xfId="366"/>
    <cellStyle name="40% - 强调文字颜色 1 2 3 2 2 2" xfId="367"/>
    <cellStyle name="40% - 强调文字颜色 1 2 3 2 2 2 2" xfId="9561"/>
    <cellStyle name="40% - 强调文字颜色 1 2 3 2 2 3" xfId="368"/>
    <cellStyle name="40% - 强调文字颜色 1 2 3 2 2 3 2" xfId="9560"/>
    <cellStyle name="40% - 强调文字颜色 1 2 3 2 2 4" xfId="369"/>
    <cellStyle name="40% - 强调文字颜色 1 2 3 2 2 4 2" xfId="4898"/>
    <cellStyle name="40% - 强调文字颜色 1 2 3 2 2 5" xfId="4090"/>
    <cellStyle name="40% - 强调文字颜色 1 2 3 2 2 5 2" xfId="5802"/>
    <cellStyle name="40% - 强调文字颜色 1 2 3 2 2 6" xfId="8795"/>
    <cellStyle name="40% - 强调文字颜色 1 2 3 2 3" xfId="370"/>
    <cellStyle name="40% - 强调文字颜色 1 2 3 2 3 2" xfId="8794"/>
    <cellStyle name="40% - 强调文字颜色 1 2 3 2 4" xfId="371"/>
    <cellStyle name="40% - 强调文字颜色 1 2 3 2 4 2" xfId="8793"/>
    <cellStyle name="40% - 强调文字颜色 1 2 3 2 5" xfId="372"/>
    <cellStyle name="40% - 强调文字颜色 1 2 3 2 5 2" xfId="9559"/>
    <cellStyle name="40% - 强调文字颜色 1 2 3 2 6" xfId="373"/>
    <cellStyle name="40% - 强调文字颜色 1 2 3 2 6 2" xfId="9558"/>
    <cellStyle name="40% - 强调文字颜色 1 2 3 2 7" xfId="4089"/>
    <cellStyle name="40% - 强调文字颜色 1 2 3 2 7 2" xfId="5773"/>
    <cellStyle name="40% - 强调文字颜色 1 2 3 2 8" xfId="8796"/>
    <cellStyle name="40% - 强调文字颜色 1 2 3 3" xfId="374"/>
    <cellStyle name="40% - 强调文字颜色 1 2 3 3 2" xfId="375"/>
    <cellStyle name="40% - 强调文字颜色 1 2 3 3 2 2" xfId="5799"/>
    <cellStyle name="40% - 强调文字颜色 1 2 3 3 3" xfId="376"/>
    <cellStyle name="40% - 强调文字颜色 1 2 3 3 3 2" xfId="9557"/>
    <cellStyle name="40% - 强调文字颜色 1 2 3 3 4" xfId="377"/>
    <cellStyle name="40% - 强调文字颜色 1 2 3 3 4 2" xfId="9556"/>
    <cellStyle name="40% - 强调文字颜色 1 2 3 3 5" xfId="4091"/>
    <cellStyle name="40% - 强调文字颜色 1 2 3 3 5 2" xfId="5774"/>
    <cellStyle name="40% - 强调文字颜色 1 2 3 3 6" xfId="8792"/>
    <cellStyle name="40% - 强调文字颜色 1 2 3 4" xfId="378"/>
    <cellStyle name="40% - 强调文字颜色 1 2 3 4 2" xfId="5797"/>
    <cellStyle name="40% - 强调文字颜色 1 2 3 4 3" xfId="8791"/>
    <cellStyle name="40% - 强调文字颜色 1 2 3 5" xfId="379"/>
    <cellStyle name="40% - 强调文字颜色 1 2 3 5 2" xfId="8790"/>
    <cellStyle name="40% - 强调文字颜色 1 2 3 6" xfId="380"/>
    <cellStyle name="40% - 强调文字颜色 1 2 3 6 2" xfId="8789"/>
    <cellStyle name="40% - 强调文字颜色 1 2 3 7" xfId="381"/>
    <cellStyle name="40% - 强调文字颜色 1 2 3 7 2" xfId="9555"/>
    <cellStyle name="40% - 强调文字颜色 1 2 3 8" xfId="382"/>
    <cellStyle name="40% - 强调文字颜色 1 2 3 8 2" xfId="9554"/>
    <cellStyle name="40% - 强调文字颜色 1 2 3 9" xfId="4088"/>
    <cellStyle name="40% - 强调文字颜色 1 2 3 9 2" xfId="5772"/>
    <cellStyle name="40% - 强调文字颜色 1 2 4" xfId="383"/>
    <cellStyle name="40% - 强调文字颜色 1 2 4 2" xfId="384"/>
    <cellStyle name="40% - 强调文字颜色 1 2 4 2 2" xfId="5792"/>
    <cellStyle name="40% - 强调文字颜色 1 2 4 3" xfId="385"/>
    <cellStyle name="40% - 强调文字颜色 1 2 4 3 2" xfId="5791"/>
    <cellStyle name="40% - 强调文字颜色 1 2 4 4" xfId="386"/>
    <cellStyle name="40% - 强调文字颜色 1 2 4 4 2" xfId="9553"/>
    <cellStyle name="40% - 强调文字颜色 1 2 4 5" xfId="387"/>
    <cellStyle name="40% - 强调文字颜色 1 2 4 5 2" xfId="9685"/>
    <cellStyle name="40% - 强调文字颜色 1 2 4 6" xfId="388"/>
    <cellStyle name="40% - 强调文字颜色 1 2 4 6 2" xfId="9552"/>
    <cellStyle name="40% - 强调文字颜色 1 2 4 7" xfId="4092"/>
    <cellStyle name="40% - 强调文字颜色 1 2 4 7 2" xfId="5776"/>
    <cellStyle name="40% - 强调文字颜色 1 2 4 8" xfId="8788"/>
    <cellStyle name="40% - 强调文字颜色 1 2 5" xfId="389"/>
    <cellStyle name="40% - 强调文字颜色 1 2 5 2" xfId="390"/>
    <cellStyle name="40% - 强调文字颜色 1 2 5 2 2" xfId="5789"/>
    <cellStyle name="40% - 强调文字颜色 1 2 5 3" xfId="4093"/>
    <cellStyle name="40% - 强调文字颜色 1 2 5 3 2" xfId="5778"/>
    <cellStyle name="40% - 强调文字颜色 1 2 5 4" xfId="8787"/>
    <cellStyle name="40% - 强调文字颜色 1 2 6" xfId="391"/>
    <cellStyle name="40% - 强调文字颜色 1 2 6 2" xfId="8786"/>
    <cellStyle name="40% - 强调文字颜色 1 2 7" xfId="392"/>
    <cellStyle name="40% - 强调文字颜色 1 2 7 2" xfId="8785"/>
    <cellStyle name="40% - 强调文字颜色 1 2 8" xfId="393"/>
    <cellStyle name="40% - 强调文字颜色 1 2 8 2" xfId="9551"/>
    <cellStyle name="40% - 强调文字颜色 1 2 9" xfId="394"/>
    <cellStyle name="40% - 强调文字颜色 1 2 9 2" xfId="9550"/>
    <cellStyle name="40% - 强调文字颜色 1 3" xfId="395"/>
    <cellStyle name="40% - 强调文字颜色 1 3 2" xfId="396"/>
    <cellStyle name="40% - 强调文字颜色 1 3 2 2" xfId="397"/>
    <cellStyle name="40% - 强调文字颜色 1 3 2 2 2" xfId="9686"/>
    <cellStyle name="40% - 强调文字颜色 1 3 2 3" xfId="4095"/>
    <cellStyle name="40% - 强调文字颜色 1 3 2 3 2" xfId="5780"/>
    <cellStyle name="40% - 强调文字颜色 1 3 2 4" xfId="5785"/>
    <cellStyle name="40% - 强调文字颜色 1 3 2 5" xfId="9549"/>
    <cellStyle name="40% - 强调文字颜色 1 3 3" xfId="398"/>
    <cellStyle name="40% - 强调文字颜色 1 3 3 2" xfId="4096"/>
    <cellStyle name="40% - 强调文字颜色 1 3 3 2 2" xfId="5783"/>
    <cellStyle name="40% - 强调文字颜色 1 3 4" xfId="399"/>
    <cellStyle name="40% - 强调文字颜色 1 3 4 2" xfId="9687"/>
    <cellStyle name="40% - 强调文字颜色 1 3 5" xfId="400"/>
    <cellStyle name="40% - 强调文字颜色 1 3 5 2" xfId="9688"/>
    <cellStyle name="40% - 强调文字颜色 1 3 6" xfId="4094"/>
    <cellStyle name="40% - 强调文字颜色 1 4" xfId="401"/>
    <cellStyle name="40% - 强调文字颜色 1 4 2" xfId="4097"/>
    <cellStyle name="40% - 强调文字颜色 1 4 3" xfId="9548"/>
    <cellStyle name="40% - 强调文字颜色 2 2" xfId="402"/>
    <cellStyle name="40% - 强调文字颜色 2 2 10" xfId="4098"/>
    <cellStyle name="40% - 强调文字颜色 2 2 10 2" xfId="5781"/>
    <cellStyle name="40% - 强调文字颜色 2 2 2" xfId="403"/>
    <cellStyle name="40% - 强调文字颜色 2 2 2 2" xfId="404"/>
    <cellStyle name="40% - 强调文字颜色 2 2 2 2 2" xfId="405"/>
    <cellStyle name="40% - 强调文字颜色 2 2 2 2 2 2" xfId="406"/>
    <cellStyle name="40% - 强调文字颜色 2 2 2 2 2 2 2" xfId="9689"/>
    <cellStyle name="40% - 强调文字颜色 2 2 2 2 2 3" xfId="407"/>
    <cellStyle name="40% - 强调文字颜色 2 2 2 2 2 3 2" xfId="9547"/>
    <cellStyle name="40% - 强调文字颜色 2 2 2 2 2 4" xfId="408"/>
    <cellStyle name="40% - 强调文字颜色 2 2 2 2 2 4 2" xfId="9546"/>
    <cellStyle name="40% - 强调文字颜色 2 2 2 2 2 5" xfId="4101"/>
    <cellStyle name="40% - 强调文字颜色 2 2 2 2 2 5 2" xfId="5777"/>
    <cellStyle name="40% - 强调文字颜色 2 2 2 2 2 6" xfId="8783"/>
    <cellStyle name="40% - 强调文字颜色 2 2 2 2 3" xfId="409"/>
    <cellStyle name="40% - 强调文字颜色 2 2 2 2 3 2" xfId="8782"/>
    <cellStyle name="40% - 强调文字颜色 2 2 2 2 4" xfId="410"/>
    <cellStyle name="40% - 强调文字颜色 2 2 2 2 4 2" xfId="8781"/>
    <cellStyle name="40% - 强调文字颜色 2 2 2 2 5" xfId="411"/>
    <cellStyle name="40% - 强调文字颜色 2 2 2 2 5 2" xfId="9690"/>
    <cellStyle name="40% - 强调文字颜色 2 2 2 2 6" xfId="412"/>
    <cellStyle name="40% - 强调文字颜色 2 2 2 2 6 2" xfId="9691"/>
    <cellStyle name="40% - 强调文字颜色 2 2 2 2 7" xfId="4100"/>
    <cellStyle name="40% - 强调文字颜色 2 2 2 2 7 2" xfId="5782"/>
    <cellStyle name="40% - 强调文字颜色 2 2 2 2 8" xfId="8784"/>
    <cellStyle name="40% - 强调文字颜色 2 2 2 3" xfId="413"/>
    <cellStyle name="40% - 强调文字颜色 2 2 2 3 2" xfId="414"/>
    <cellStyle name="40% - 强调文字颜色 2 2 2 3 2 2" xfId="5775"/>
    <cellStyle name="40% - 强调文字颜色 2 2 2 3 3" xfId="415"/>
    <cellStyle name="40% - 强调文字颜色 2 2 2 3 3 2" xfId="9545"/>
    <cellStyle name="40% - 强调文字颜色 2 2 2 3 4" xfId="416"/>
    <cellStyle name="40% - 强调文字颜色 2 2 2 3 4 2" xfId="9544"/>
    <cellStyle name="40% - 强调文字颜色 2 2 2 3 5" xfId="4102"/>
    <cellStyle name="40% - 强调文字颜色 2 2 2 3 5 2" xfId="5784"/>
    <cellStyle name="40% - 强调文字颜色 2 2 2 3 6" xfId="8780"/>
    <cellStyle name="40% - 强调文字颜色 2 2 2 4" xfId="417"/>
    <cellStyle name="40% - 强调文字颜色 2 2 2 4 2" xfId="8779"/>
    <cellStyle name="40% - 强调文字颜色 2 2 2 4 3" xfId="9693"/>
    <cellStyle name="40% - 强调文字颜色 2 2 2 5" xfId="418"/>
    <cellStyle name="40% - 强调文字颜色 2 2 2 5 2" xfId="8778"/>
    <cellStyle name="40% - 强调文字颜色 2 2 2 6" xfId="419"/>
    <cellStyle name="40% - 强调文字颜色 2 2 2 6 2" xfId="8777"/>
    <cellStyle name="40% - 强调文字颜色 2 2 2 7" xfId="420"/>
    <cellStyle name="40% - 强调文字颜色 2 2 2 7 2" xfId="9692"/>
    <cellStyle name="40% - 强调文字颜色 2 2 2 8" xfId="4099"/>
    <cellStyle name="40% - 强调文字颜色 2 2 3" xfId="421"/>
    <cellStyle name="40% - 强调文字颜色 2 2 3 2" xfId="422"/>
    <cellStyle name="40% - 强调文字颜色 2 2 3 2 2" xfId="423"/>
    <cellStyle name="40% - 强调文字颜色 2 2 3 2 2 2" xfId="424"/>
    <cellStyle name="40% - 强调文字颜色 2 2 3 2 2 2 2" xfId="9543"/>
    <cellStyle name="40% - 强调文字颜色 2 2 3 2 2 3" xfId="425"/>
    <cellStyle name="40% - 强调文字颜色 2 2 3 2 2 3 2" xfId="9694"/>
    <cellStyle name="40% - 强调文字颜色 2 2 3 2 2 4" xfId="426"/>
    <cellStyle name="40% - 强调文字颜色 2 2 3 2 2 4 2" xfId="9542"/>
    <cellStyle name="40% - 强调文字颜色 2 2 3 2 2 5" xfId="4105"/>
    <cellStyle name="40% - 强调文字颜色 2 2 3 2 2 5 2" xfId="5771"/>
    <cellStyle name="40% - 强调文字颜色 2 2 3 2 2 6" xfId="8775"/>
    <cellStyle name="40% - 强调文字颜色 2 2 3 2 3" xfId="427"/>
    <cellStyle name="40% - 强调文字颜色 2 2 3 2 3 2" xfId="8774"/>
    <cellStyle name="40% - 强调文字颜色 2 2 3 2 4" xfId="428"/>
    <cellStyle name="40% - 强调文字颜色 2 2 3 2 4 2" xfId="8773"/>
    <cellStyle name="40% - 强调文字颜色 2 2 3 2 5" xfId="429"/>
    <cellStyle name="40% - 强调文字颜色 2 2 3 2 5 2" xfId="9541"/>
    <cellStyle name="40% - 强调文字颜色 2 2 3 2 6" xfId="430"/>
    <cellStyle name="40% - 强调文字颜色 2 2 3 2 6 2" xfId="9540"/>
    <cellStyle name="40% - 强调文字颜色 2 2 3 2 7" xfId="4104"/>
    <cellStyle name="40% - 强调文字颜色 2 2 3 2 7 2" xfId="5787"/>
    <cellStyle name="40% - 强调文字颜色 2 2 3 2 8" xfId="8776"/>
    <cellStyle name="40% - 强调文字颜色 2 2 3 3" xfId="431"/>
    <cellStyle name="40% - 强调文字颜色 2 2 3 3 2" xfId="432"/>
    <cellStyle name="40% - 强调文字颜色 2 2 3 3 2 2" xfId="5768"/>
    <cellStyle name="40% - 强调文字颜色 2 2 3 3 3" xfId="433"/>
    <cellStyle name="40% - 强调文字颜色 2 2 3 3 3 2" xfId="9539"/>
    <cellStyle name="40% - 强调文字颜色 2 2 3 3 4" xfId="434"/>
    <cellStyle name="40% - 强调文字颜色 2 2 3 3 4 2" xfId="9695"/>
    <cellStyle name="40% - 强调文字颜色 2 2 3 3 5" xfId="4106"/>
    <cellStyle name="40% - 强调文字颜色 2 2 3 3 5 2" xfId="5788"/>
    <cellStyle name="40% - 强调文字颜色 2 2 3 3 6" xfId="8772"/>
    <cellStyle name="40% - 强调文字颜色 2 2 3 4" xfId="435"/>
    <cellStyle name="40% - 强调文字颜色 2 2 3 4 2" xfId="5766"/>
    <cellStyle name="40% - 强调文字颜色 2 2 3 4 3" xfId="8771"/>
    <cellStyle name="40% - 强调文字颜色 2 2 3 5" xfId="436"/>
    <cellStyle name="40% - 强调文字颜色 2 2 3 5 2" xfId="8770"/>
    <cellStyle name="40% - 强调文字颜色 2 2 3 6" xfId="437"/>
    <cellStyle name="40% - 强调文字颜色 2 2 3 6 2" xfId="8769"/>
    <cellStyle name="40% - 强调文字颜色 2 2 3 7" xfId="438"/>
    <cellStyle name="40% - 强调文字颜色 2 2 3 7 2" xfId="9538"/>
    <cellStyle name="40% - 强调文字颜色 2 2 3 8" xfId="439"/>
    <cellStyle name="40% - 强调文字颜色 2 2 3 8 2" xfId="9537"/>
    <cellStyle name="40% - 强调文字颜色 2 2 3 9" xfId="4103"/>
    <cellStyle name="40% - 强调文字颜色 2 2 3 9 2" xfId="5786"/>
    <cellStyle name="40% - 强调文字颜色 2 2 4" xfId="440"/>
    <cellStyle name="40% - 强调文字颜色 2 2 4 2" xfId="441"/>
    <cellStyle name="40% - 强调文字颜色 2 2 4 2 2" xfId="5763"/>
    <cellStyle name="40% - 强调文字颜色 2 2 4 3" xfId="442"/>
    <cellStyle name="40% - 强调文字颜色 2 2 4 3 2" xfId="5762"/>
    <cellStyle name="40% - 强调文字颜色 2 2 4 4" xfId="443"/>
    <cellStyle name="40% - 强调文字颜色 2 2 4 4 2" xfId="9696"/>
    <cellStyle name="40% - 强调文字颜色 2 2 4 5" xfId="444"/>
    <cellStyle name="40% - 强调文字颜色 2 2 4 5 2" xfId="9536"/>
    <cellStyle name="40% - 强调文字颜色 2 2 4 6" xfId="445"/>
    <cellStyle name="40% - 强调文字颜色 2 2 4 6 2" xfId="9535"/>
    <cellStyle name="40% - 强调文字颜色 2 2 4 7" xfId="4107"/>
    <cellStyle name="40% - 强调文字颜色 2 2 4 7 2" xfId="5790"/>
    <cellStyle name="40% - 强调文字颜色 2 2 4 8" xfId="8768"/>
    <cellStyle name="40% - 强调文字颜色 2 2 5" xfId="446"/>
    <cellStyle name="40% - 强调文字颜色 2 2 5 2" xfId="447"/>
    <cellStyle name="40% - 强调文字颜色 2 2 5 2 2" xfId="5759"/>
    <cellStyle name="40% - 强调文字颜色 2 2 5 3" xfId="4108"/>
    <cellStyle name="40% - 强调文字颜色 2 2 5 3 2" xfId="5793"/>
    <cellStyle name="40% - 强调文字颜色 2 2 5 4" xfId="8767"/>
    <cellStyle name="40% - 强调文字颜色 2 2 6" xfId="448"/>
    <cellStyle name="40% - 强调文字颜色 2 2 6 2" xfId="8766"/>
    <cellStyle name="40% - 强调文字颜色 2 2 7" xfId="449"/>
    <cellStyle name="40% - 强调文字颜色 2 2 7 2" xfId="8765"/>
    <cellStyle name="40% - 强调文字颜色 2 2 8" xfId="450"/>
    <cellStyle name="40% - 强调文字颜色 2 2 8 2" xfId="9534"/>
    <cellStyle name="40% - 强调文字颜色 2 2 9" xfId="451"/>
    <cellStyle name="40% - 强调文字颜色 2 2 9 2" xfId="9533"/>
    <cellStyle name="40% - 强调文字颜色 2 3" xfId="452"/>
    <cellStyle name="40% - 强调文字颜色 2 3 2" xfId="453"/>
    <cellStyle name="40% - 强调文字颜色 2 3 2 2" xfId="454"/>
    <cellStyle name="40% - 强调文字颜色 2 3 2 2 2" xfId="9531"/>
    <cellStyle name="40% - 强调文字颜色 2 3 2 3" xfId="4110"/>
    <cellStyle name="40% - 强调文字颜色 2 3 2 3 2" xfId="5796"/>
    <cellStyle name="40% - 强调文字颜色 2 3 2 4" xfId="5755"/>
    <cellStyle name="40% - 强调文字颜色 2 3 2 5" xfId="9532"/>
    <cellStyle name="40% - 强调文字颜色 2 3 3" xfId="455"/>
    <cellStyle name="40% - 强调文字颜色 2 3 3 2" xfId="4111"/>
    <cellStyle name="40% - 强调文字颜色 2 3 3 2 2" xfId="5753"/>
    <cellStyle name="40% - 强调文字颜色 2 3 4" xfId="456"/>
    <cellStyle name="40% - 强调文字颜色 2 3 4 2" xfId="9530"/>
    <cellStyle name="40% - 强调文字颜色 2 3 5" xfId="457"/>
    <cellStyle name="40% - 强调文字颜色 2 3 5 2" xfId="9529"/>
    <cellStyle name="40% - 强调文字颜色 2 3 6" xfId="4109"/>
    <cellStyle name="40% - 强调文字颜色 2 4" xfId="458"/>
    <cellStyle name="40% - 强调文字颜色 2 4 2" xfId="4112"/>
    <cellStyle name="40% - 强调文字颜色 2 4 3" xfId="9528"/>
    <cellStyle name="40% - 强调文字颜色 3 2" xfId="459"/>
    <cellStyle name="40% - 强调文字颜色 3 2 10" xfId="4113"/>
    <cellStyle name="40% - 强调文字颜色 3 2 10 2" xfId="5798"/>
    <cellStyle name="40% - 强调文字颜色 3 2 2" xfId="460"/>
    <cellStyle name="40% - 强调文字颜色 3 2 2 2" xfId="461"/>
    <cellStyle name="40% - 强调文字颜色 3 2 2 2 2" xfId="462"/>
    <cellStyle name="40% - 强调文字颜色 3 2 2 2 2 2" xfId="463"/>
    <cellStyle name="40% - 强调文字颜色 3 2 2 2 2 2 2" xfId="9527"/>
    <cellStyle name="40% - 强调文字颜色 3 2 2 2 2 3" xfId="464"/>
    <cellStyle name="40% - 强调文字颜色 3 2 2 2 2 3 2" xfId="9526"/>
    <cellStyle name="40% - 强调文字颜色 3 2 2 2 2 4" xfId="465"/>
    <cellStyle name="40% - 强调文字颜色 3 2 2 2 2 4 2" xfId="9525"/>
    <cellStyle name="40% - 强调文字颜色 3 2 2 2 2 5" xfId="4116"/>
    <cellStyle name="40% - 强调文字颜色 3 2 2 2 2 5 2" xfId="5747"/>
    <cellStyle name="40% - 强调文字颜色 3 2 2 2 2 6" xfId="8763"/>
    <cellStyle name="40% - 强调文字颜色 3 2 2 2 3" xfId="466"/>
    <cellStyle name="40% - 强调文字颜色 3 2 2 2 3 2" xfId="8762"/>
    <cellStyle name="40% - 强调文字颜色 3 2 2 2 4" xfId="467"/>
    <cellStyle name="40% - 强调文字颜色 3 2 2 2 4 2" xfId="8761"/>
    <cellStyle name="40% - 强调文字颜色 3 2 2 2 5" xfId="468"/>
    <cellStyle name="40% - 强调文字颜色 3 2 2 2 5 2" xfId="9524"/>
    <cellStyle name="40% - 强调文字颜色 3 2 2 2 6" xfId="469"/>
    <cellStyle name="40% - 强调文字颜色 3 2 2 2 6 2" xfId="9697"/>
    <cellStyle name="40% - 强调文字颜色 3 2 2 2 7" xfId="4115"/>
    <cellStyle name="40% - 强调文字颜色 3 2 2 2 7 2" xfId="5800"/>
    <cellStyle name="40% - 强调文字颜色 3 2 2 2 8" xfId="8764"/>
    <cellStyle name="40% - 强调文字颜色 3 2 2 3" xfId="470"/>
    <cellStyle name="40% - 强调文字颜色 3 2 2 3 2" xfId="471"/>
    <cellStyle name="40% - 强调文字颜色 3 2 2 3 2 2" xfId="5744"/>
    <cellStyle name="40% - 强调文字颜色 3 2 2 3 3" xfId="472"/>
    <cellStyle name="40% - 强调文字颜色 3 2 2 3 3 2" xfId="9523"/>
    <cellStyle name="40% - 强调文字颜色 3 2 2 3 4" xfId="473"/>
    <cellStyle name="40% - 强调文字颜色 3 2 2 3 4 2" xfId="9522"/>
    <cellStyle name="40% - 强调文字颜色 3 2 2 3 5" xfId="4117"/>
    <cellStyle name="40% - 强调文字颜色 3 2 2 3 5 2" xfId="5801"/>
    <cellStyle name="40% - 强调文字颜色 3 2 2 3 6" xfId="8760"/>
    <cellStyle name="40% - 强调文字颜色 3 2 2 4" xfId="474"/>
    <cellStyle name="40% - 强调文字颜色 3 2 2 4 2" xfId="8759"/>
    <cellStyle name="40% - 强调文字颜色 3 2 2 4 3" xfId="9521"/>
    <cellStyle name="40% - 强调文字颜色 3 2 2 5" xfId="475"/>
    <cellStyle name="40% - 强调文字颜色 3 2 2 5 2" xfId="8758"/>
    <cellStyle name="40% - 强调文字颜色 3 2 2 6" xfId="476"/>
    <cellStyle name="40% - 强调文字颜色 3 2 2 6 2" xfId="8757"/>
    <cellStyle name="40% - 强调文字颜色 3 2 2 7" xfId="477"/>
    <cellStyle name="40% - 强调文字颜色 3 2 2 7 2" xfId="9520"/>
    <cellStyle name="40% - 强调文字颜色 3 2 2 8" xfId="4114"/>
    <cellStyle name="40% - 强调文字颜色 3 2 3" xfId="478"/>
    <cellStyle name="40% - 强调文字颜色 3 2 3 2" xfId="479"/>
    <cellStyle name="40% - 强调文字颜色 3 2 3 2 2" xfId="480"/>
    <cellStyle name="40% - 强调文字颜色 3 2 3 2 2 2" xfId="481"/>
    <cellStyle name="40% - 强调文字颜色 3 2 3 2 2 2 2" xfId="9519"/>
    <cellStyle name="40% - 强调文字颜色 3 2 3 2 2 3" xfId="482"/>
    <cellStyle name="40% - 强调文字颜色 3 2 3 2 2 3 2" xfId="9518"/>
    <cellStyle name="40% - 强调文字颜色 3 2 3 2 2 4" xfId="483"/>
    <cellStyle name="40% - 强调文字颜色 3 2 3 2 2 4 2" xfId="9517"/>
    <cellStyle name="40% - 强调文字颜色 3 2 3 2 2 5" xfId="4120"/>
    <cellStyle name="40% - 强调文字颜色 3 2 3 2 2 5 2" xfId="5739"/>
    <cellStyle name="40% - 强调文字颜色 3 2 3 2 2 6" xfId="8755"/>
    <cellStyle name="40% - 强调文字颜色 3 2 3 2 3" xfId="484"/>
    <cellStyle name="40% - 强调文字颜色 3 2 3 2 3 2" xfId="8754"/>
    <cellStyle name="40% - 强调文字颜色 3 2 3 2 4" xfId="485"/>
    <cellStyle name="40% - 强调文字颜色 3 2 3 2 4 2" xfId="8753"/>
    <cellStyle name="40% - 强调文字颜色 3 2 3 2 5" xfId="486"/>
    <cellStyle name="40% - 强调文字颜色 3 2 3 2 5 2" xfId="9516"/>
    <cellStyle name="40% - 强调文字颜色 3 2 3 2 6" xfId="487"/>
    <cellStyle name="40% - 强调文字颜色 3 2 3 2 6 2" xfId="9515"/>
    <cellStyle name="40% - 强调文字颜色 3 2 3 2 7" xfId="4119"/>
    <cellStyle name="40% - 强调文字颜色 3 2 3 2 7 2" xfId="5804"/>
    <cellStyle name="40% - 强调文字颜色 3 2 3 2 8" xfId="8756"/>
    <cellStyle name="40% - 强调文字颜色 3 2 3 3" xfId="488"/>
    <cellStyle name="40% - 强调文字颜色 3 2 3 3 2" xfId="489"/>
    <cellStyle name="40% - 强调文字颜色 3 2 3 3 2 2" xfId="5736"/>
    <cellStyle name="40% - 强调文字颜色 3 2 3 3 3" xfId="490"/>
    <cellStyle name="40% - 强调文字颜色 3 2 3 3 3 2" xfId="9514"/>
    <cellStyle name="40% - 强调文字颜色 3 2 3 3 4" xfId="491"/>
    <cellStyle name="40% - 强调文字颜色 3 2 3 3 4 2" xfId="9513"/>
    <cellStyle name="40% - 强调文字颜色 3 2 3 3 5" xfId="4121"/>
    <cellStyle name="40% - 强调文字颜色 3 2 3 3 5 2" xfId="5805"/>
    <cellStyle name="40% - 强调文字颜色 3 2 3 3 6" xfId="8752"/>
    <cellStyle name="40% - 强调文字颜色 3 2 3 4" xfId="492"/>
    <cellStyle name="40% - 强调文字颜色 3 2 3 4 2" xfId="5734"/>
    <cellStyle name="40% - 强调文字颜色 3 2 3 4 3" xfId="8751"/>
    <cellStyle name="40% - 强调文字颜色 3 2 3 5" xfId="493"/>
    <cellStyle name="40% - 强调文字颜色 3 2 3 5 2" xfId="8750"/>
    <cellStyle name="40% - 强调文字颜色 3 2 3 6" xfId="494"/>
    <cellStyle name="40% - 强调文字颜色 3 2 3 6 2" xfId="8749"/>
    <cellStyle name="40% - 强调文字颜色 3 2 3 7" xfId="495"/>
    <cellStyle name="40% - 强调文字颜色 3 2 3 7 2" xfId="9512"/>
    <cellStyle name="40% - 强调文字颜色 3 2 3 8" xfId="496"/>
    <cellStyle name="40% - 强调文字颜色 3 2 3 8 2" xfId="9511"/>
    <cellStyle name="40% - 强调文字颜色 3 2 3 9" xfId="4118"/>
    <cellStyle name="40% - 强调文字颜色 3 2 3 9 2" xfId="5803"/>
    <cellStyle name="40% - 强调文字颜色 3 2 4" xfId="497"/>
    <cellStyle name="40% - 强调文字颜色 3 2 4 2" xfId="498"/>
    <cellStyle name="40% - 强调文字颜色 3 2 4 2 2" xfId="5731"/>
    <cellStyle name="40% - 强调文字颜色 3 2 4 3" xfId="499"/>
    <cellStyle name="40% - 强调文字颜色 3 2 4 3 2" xfId="5730"/>
    <cellStyle name="40% - 强调文字颜色 3 2 4 4" xfId="500"/>
    <cellStyle name="40% - 强调文字颜色 3 2 4 4 2" xfId="9510"/>
    <cellStyle name="40% - 强调文字颜色 3 2 4 5" xfId="501"/>
    <cellStyle name="40% - 强调文字颜色 3 2 4 5 2" xfId="9509"/>
    <cellStyle name="40% - 强调文字颜色 3 2 4 6" xfId="502"/>
    <cellStyle name="40% - 强调文字颜色 3 2 4 6 2" xfId="9698"/>
    <cellStyle name="40% - 强调文字颜色 3 2 4 7" xfId="4122"/>
    <cellStyle name="40% - 强调文字颜色 3 2 4 7 2" xfId="5807"/>
    <cellStyle name="40% - 强调文字颜色 3 2 4 8" xfId="8748"/>
    <cellStyle name="40% - 强调文字颜色 3 2 5" xfId="503"/>
    <cellStyle name="40% - 强调文字颜色 3 2 5 2" xfId="504"/>
    <cellStyle name="40% - 强调文字颜色 3 2 5 2 2" xfId="5728"/>
    <cellStyle name="40% - 强调文字颜色 3 2 5 3" xfId="4123"/>
    <cellStyle name="40% - 强调文字颜色 3 2 5 3 2" xfId="5809"/>
    <cellStyle name="40% - 强调文字颜色 3 2 5 4" xfId="8747"/>
    <cellStyle name="40% - 强调文字颜色 3 2 6" xfId="505"/>
    <cellStyle name="40% - 强调文字颜色 3 2 6 2" xfId="8746"/>
    <cellStyle name="40% - 强调文字颜色 3 2 7" xfId="506"/>
    <cellStyle name="40% - 强调文字颜色 3 2 7 2" xfId="8745"/>
    <cellStyle name="40% - 强调文字颜色 3 2 8" xfId="507"/>
    <cellStyle name="40% - 强调文字颜色 3 2 8 2" xfId="9508"/>
    <cellStyle name="40% - 强调文字颜色 3 2 9" xfId="508"/>
    <cellStyle name="40% - 强调文字颜色 3 2 9 2" xfId="9507"/>
    <cellStyle name="40% - 强调文字颜色 3 3" xfId="509"/>
    <cellStyle name="40% - 强调文字颜色 3 3 2" xfId="510"/>
    <cellStyle name="40% - 强调文字颜色 3 3 2 2" xfId="511"/>
    <cellStyle name="40% - 强调文字颜色 3 3 2 2 2" xfId="9699"/>
    <cellStyle name="40% - 强调文字颜色 3 3 2 3" xfId="4125"/>
    <cellStyle name="40% - 强调文字颜色 3 3 2 3 2" xfId="5811"/>
    <cellStyle name="40% - 强调文字颜色 3 3 2 4" xfId="5724"/>
    <cellStyle name="40% - 强调文字颜色 3 3 2 5" xfId="9506"/>
    <cellStyle name="40% - 强调文字颜色 3 3 3" xfId="512"/>
    <cellStyle name="40% - 强调文字颜色 3 3 3 2" xfId="4126"/>
    <cellStyle name="40% - 强调文字颜色 3 3 3 2 2" xfId="5722"/>
    <cellStyle name="40% - 强调文字颜色 3 3 4" xfId="513"/>
    <cellStyle name="40% - 强调文字颜色 3 3 4 2" xfId="9505"/>
    <cellStyle name="40% - 强调文字颜色 3 3 5" xfId="514"/>
    <cellStyle name="40% - 强调文字颜色 3 3 5 2" xfId="9504"/>
    <cellStyle name="40% - 强调文字颜色 3 3 6" xfId="4124"/>
    <cellStyle name="40% - 强调文字颜色 3 4" xfId="515"/>
    <cellStyle name="40% - 强调文字颜色 3 4 2" xfId="4127"/>
    <cellStyle name="40% - 强调文字颜色 3 4 3" xfId="9503"/>
    <cellStyle name="40% - 强调文字颜色 4 2" xfId="516"/>
    <cellStyle name="40% - 强调文字颜色 4 2 10" xfId="4128"/>
    <cellStyle name="40% - 强调文字颜色 4 2 10 2" xfId="5813"/>
    <cellStyle name="40% - 强调文字颜色 4 2 2" xfId="517"/>
    <cellStyle name="40% - 强调文字颜色 4 2 2 2" xfId="518"/>
    <cellStyle name="40% - 强调文字颜色 4 2 2 2 2" xfId="519"/>
    <cellStyle name="40% - 强调文字颜色 4 2 2 2 2 2" xfId="520"/>
    <cellStyle name="40% - 强调文字颜色 4 2 2 2 2 2 2" xfId="9700"/>
    <cellStyle name="40% - 强调文字颜色 4 2 2 2 2 3" xfId="521"/>
    <cellStyle name="40% - 强调文字颜色 4 2 2 2 2 3 2" xfId="9502"/>
    <cellStyle name="40% - 强调文字颜色 4 2 2 2 2 4" xfId="522"/>
    <cellStyle name="40% - 强调文字颜色 4 2 2 2 2 4 2" xfId="9501"/>
    <cellStyle name="40% - 强调文字颜色 4 2 2 2 2 5" xfId="4131"/>
    <cellStyle name="40% - 强调文字颜色 4 2 2 2 2 5 2" xfId="5716"/>
    <cellStyle name="40% - 强调文字颜色 4 2 2 2 2 6" xfId="8743"/>
    <cellStyle name="40% - 强调文字颜色 4 2 2 2 3" xfId="523"/>
    <cellStyle name="40% - 强调文字颜色 4 2 2 2 3 2" xfId="8742"/>
    <cellStyle name="40% - 强调文字颜色 4 2 2 2 4" xfId="524"/>
    <cellStyle name="40% - 强调文字颜色 4 2 2 2 4 2" xfId="8741"/>
    <cellStyle name="40% - 强调文字颜色 4 2 2 2 5" xfId="525"/>
    <cellStyle name="40% - 强调文字颜色 4 2 2 2 5 2" xfId="9500"/>
    <cellStyle name="40% - 强调文字颜色 4 2 2 2 6" xfId="526"/>
    <cellStyle name="40% - 强调文字颜色 4 2 2 2 6 2" xfId="9499"/>
    <cellStyle name="40% - 强调文字颜色 4 2 2 2 7" xfId="4130"/>
    <cellStyle name="40% - 强调文字颜色 4 2 2 2 7 2" xfId="5814"/>
    <cellStyle name="40% - 强调文字颜色 4 2 2 2 8" xfId="8744"/>
    <cellStyle name="40% - 强调文字颜色 4 2 2 3" xfId="527"/>
    <cellStyle name="40% - 强调文字颜色 4 2 2 3 2" xfId="528"/>
    <cellStyle name="40% - 强调文字颜色 4 2 2 3 2 2" xfId="5714"/>
    <cellStyle name="40% - 强调文字颜色 4 2 2 3 3" xfId="529"/>
    <cellStyle name="40% - 强调文字颜色 4 2 2 3 3 2" xfId="9498"/>
    <cellStyle name="40% - 强调文字颜色 4 2 2 3 4" xfId="530"/>
    <cellStyle name="40% - 强调文字颜色 4 2 2 3 4 2" xfId="9701"/>
    <cellStyle name="40% - 强调文字颜色 4 2 2 3 5" xfId="4132"/>
    <cellStyle name="40% - 强调文字颜色 4 2 2 3 5 2" xfId="5816"/>
    <cellStyle name="40% - 强调文字颜色 4 2 2 3 6" xfId="8740"/>
    <cellStyle name="40% - 强调文字颜色 4 2 2 4" xfId="531"/>
    <cellStyle name="40% - 强调文字颜色 4 2 2 4 2" xfId="8739"/>
    <cellStyle name="40% - 强调文字颜色 4 2 2 4 3" xfId="9702"/>
    <cellStyle name="40% - 强调文字颜色 4 2 2 5" xfId="532"/>
    <cellStyle name="40% - 强调文字颜色 4 2 2 5 2" xfId="8738"/>
    <cellStyle name="40% - 强调文字颜色 4 2 2 6" xfId="533"/>
    <cellStyle name="40% - 强调文字颜色 4 2 2 6 2" xfId="8737"/>
    <cellStyle name="40% - 强调文字颜色 4 2 2 7" xfId="534"/>
    <cellStyle name="40% - 强调文字颜色 4 2 2 7 2" xfId="9497"/>
    <cellStyle name="40% - 强调文字颜色 4 2 2 8" xfId="4129"/>
    <cellStyle name="40% - 强调文字颜色 4 2 3" xfId="535"/>
    <cellStyle name="40% - 强调文字颜色 4 2 3 2" xfId="536"/>
    <cellStyle name="40% - 强调文字颜色 4 2 3 2 2" xfId="537"/>
    <cellStyle name="40% - 强调文字颜色 4 2 3 2 2 2" xfId="538"/>
    <cellStyle name="40% - 强调文字颜色 4 2 3 2 2 2 2" xfId="9496"/>
    <cellStyle name="40% - 强调文字颜色 4 2 3 2 2 3" xfId="539"/>
    <cellStyle name="40% - 强调文字颜色 4 2 3 2 2 3 2" xfId="9703"/>
    <cellStyle name="40% - 强调文字颜色 4 2 3 2 2 4" xfId="540"/>
    <cellStyle name="40% - 强调文字颜色 4 2 3 2 2 4 2" xfId="9495"/>
    <cellStyle name="40% - 强调文字颜色 4 2 3 2 2 5" xfId="4135"/>
    <cellStyle name="40% - 强调文字颜色 4 2 3 2 2 5 2" xfId="5709"/>
    <cellStyle name="40% - 强调文字颜色 4 2 3 2 2 6" xfId="8735"/>
    <cellStyle name="40% - 强调文字颜色 4 2 3 2 3" xfId="541"/>
    <cellStyle name="40% - 强调文字颜色 4 2 3 2 3 2" xfId="8734"/>
    <cellStyle name="40% - 强调文字颜色 4 2 3 2 4" xfId="542"/>
    <cellStyle name="40% - 强调文字颜色 4 2 3 2 4 2" xfId="8733"/>
    <cellStyle name="40% - 强调文字颜色 4 2 3 2 5" xfId="543"/>
    <cellStyle name="40% - 强调文字颜色 4 2 3 2 5 2" xfId="9494"/>
    <cellStyle name="40% - 强调文字颜色 4 2 3 2 6" xfId="544"/>
    <cellStyle name="40% - 强调文字颜色 4 2 3 2 6 2" xfId="9704"/>
    <cellStyle name="40% - 强调文字颜色 4 2 3 2 7" xfId="4134"/>
    <cellStyle name="40% - 强调文字颜色 4 2 3 2 7 2" xfId="5819"/>
    <cellStyle name="40% - 强调文字颜色 4 2 3 2 8" xfId="8736"/>
    <cellStyle name="40% - 强调文字颜色 4 2 3 3" xfId="545"/>
    <cellStyle name="40% - 强调文字颜色 4 2 3 3 2" xfId="546"/>
    <cellStyle name="40% - 强调文字颜色 4 2 3 3 2 2" xfId="5706"/>
    <cellStyle name="40% - 强调文字颜色 4 2 3 3 3" xfId="547"/>
    <cellStyle name="40% - 强调文字颜色 4 2 3 3 3 2" xfId="9705"/>
    <cellStyle name="40% - 强调文字颜色 4 2 3 3 4" xfId="548"/>
    <cellStyle name="40% - 强调文字颜色 4 2 3 3 4 2" xfId="9493"/>
    <cellStyle name="40% - 强调文字颜色 4 2 3 3 5" xfId="4136"/>
    <cellStyle name="40% - 强调文字颜色 4 2 3 3 5 2" xfId="5820"/>
    <cellStyle name="40% - 强调文字颜色 4 2 3 3 6" xfId="8732"/>
    <cellStyle name="40% - 强调文字颜色 4 2 3 4" xfId="549"/>
    <cellStyle name="40% - 强调文字颜色 4 2 3 4 2" xfId="5704"/>
    <cellStyle name="40% - 强调文字颜色 4 2 3 4 3" xfId="8731"/>
    <cellStyle name="40% - 强调文字颜色 4 2 3 5" xfId="550"/>
    <cellStyle name="40% - 强调文字颜色 4 2 3 5 2" xfId="8730"/>
    <cellStyle name="40% - 强调文字颜色 4 2 3 6" xfId="551"/>
    <cellStyle name="40% - 强调文字颜色 4 2 3 6 2" xfId="8729"/>
    <cellStyle name="40% - 强调文字颜色 4 2 3 7" xfId="552"/>
    <cellStyle name="40% - 强调文字颜色 4 2 3 7 2" xfId="9492"/>
    <cellStyle name="40% - 强调文字颜色 4 2 3 8" xfId="553"/>
    <cellStyle name="40% - 强调文字颜色 4 2 3 8 2" xfId="9706"/>
    <cellStyle name="40% - 强调文字颜色 4 2 3 9" xfId="4133"/>
    <cellStyle name="40% - 强调文字颜色 4 2 3 9 2" xfId="5818"/>
    <cellStyle name="40% - 强调文字颜色 4 2 4" xfId="554"/>
    <cellStyle name="40% - 强调文字颜色 4 2 4 2" xfId="555"/>
    <cellStyle name="40% - 强调文字颜色 4 2 4 2 2" xfId="5701"/>
    <cellStyle name="40% - 强调文字颜色 4 2 4 3" xfId="556"/>
    <cellStyle name="40% - 强调文字颜色 4 2 4 3 2" xfId="5700"/>
    <cellStyle name="40% - 强调文字颜色 4 2 4 4" xfId="557"/>
    <cellStyle name="40% - 强调文字颜色 4 2 4 4 2" xfId="9491"/>
    <cellStyle name="40% - 强调文字颜色 4 2 4 5" xfId="558"/>
    <cellStyle name="40% - 强调文字颜色 4 2 4 5 2" xfId="9707"/>
    <cellStyle name="40% - 强调文字颜色 4 2 4 6" xfId="559"/>
    <cellStyle name="40% - 强调文字颜色 4 2 4 6 2" xfId="9490"/>
    <cellStyle name="40% - 强调文字颜色 4 2 4 7" xfId="4137"/>
    <cellStyle name="40% - 强调文字颜色 4 2 4 7 2" xfId="5822"/>
    <cellStyle name="40% - 强调文字颜色 4 2 4 8" xfId="8728"/>
    <cellStyle name="40% - 强调文字颜色 4 2 5" xfId="560"/>
    <cellStyle name="40% - 强调文字颜色 4 2 5 2" xfId="561"/>
    <cellStyle name="40% - 强调文字颜色 4 2 5 2 2" xfId="5698"/>
    <cellStyle name="40% - 强调文字颜色 4 2 5 3" xfId="4138"/>
    <cellStyle name="40% - 强调文字颜色 4 2 5 3 2" xfId="5825"/>
    <cellStyle name="40% - 强调文字颜色 4 2 5 4" xfId="8727"/>
    <cellStyle name="40% - 强调文字颜色 4 2 6" xfId="562"/>
    <cellStyle name="40% - 强调文字颜色 4 2 6 2" xfId="8726"/>
    <cellStyle name="40% - 强调文字颜色 4 2 7" xfId="563"/>
    <cellStyle name="40% - 强调文字颜色 4 2 7 2" xfId="8725"/>
    <cellStyle name="40% - 强调文字颜色 4 2 8" xfId="564"/>
    <cellStyle name="40% - 强调文字颜色 4 2 8 2" xfId="9489"/>
    <cellStyle name="40% - 强调文字颜色 4 2 9" xfId="565"/>
    <cellStyle name="40% - 强调文字颜色 4 2 9 2" xfId="9488"/>
    <cellStyle name="40% - 强调文字颜色 4 3" xfId="566"/>
    <cellStyle name="40% - 强调文字颜色 4 3 2" xfId="567"/>
    <cellStyle name="40% - 强调文字颜色 4 3 2 2" xfId="568"/>
    <cellStyle name="40% - 强调文字颜色 4 3 2 2 2" xfId="9487"/>
    <cellStyle name="40% - 强调文字颜色 4 3 2 3" xfId="4140"/>
    <cellStyle name="40% - 强调文字颜色 4 3 2 3 2" xfId="5827"/>
    <cellStyle name="40% - 强调文字颜色 4 3 2 4" xfId="5694"/>
    <cellStyle name="40% - 强调文字颜色 4 3 2 5" xfId="9708"/>
    <cellStyle name="40% - 强调文字颜色 4 3 3" xfId="569"/>
    <cellStyle name="40% - 强调文字颜色 4 3 3 2" xfId="4141"/>
    <cellStyle name="40% - 强调文字颜色 4 3 3 2 2" xfId="5692"/>
    <cellStyle name="40% - 强调文字颜色 4 3 4" xfId="570"/>
    <cellStyle name="40% - 强调文字颜色 4 3 4 2" xfId="9486"/>
    <cellStyle name="40% - 强调文字颜色 4 3 5" xfId="571"/>
    <cellStyle name="40% - 强调文字颜色 4 3 5 2" xfId="9485"/>
    <cellStyle name="40% - 强调文字颜色 4 3 6" xfId="4139"/>
    <cellStyle name="40% - 强调文字颜色 4 4" xfId="572"/>
    <cellStyle name="40% - 强调文字颜色 4 4 2" xfId="4142"/>
    <cellStyle name="40% - 强调文字颜色 4 4 3" xfId="9484"/>
    <cellStyle name="40% - 强调文字颜色 5 2" xfId="573"/>
    <cellStyle name="40% - 强调文字颜色 5 2 10" xfId="4143"/>
    <cellStyle name="40% - 强调文字颜色 5 2 10 2" xfId="5829"/>
    <cellStyle name="40% - 强调文字颜色 5 2 2" xfId="574"/>
    <cellStyle name="40% - 强调文字颜色 5 2 2 2" xfId="575"/>
    <cellStyle name="40% - 强调文字颜色 5 2 2 2 2" xfId="576"/>
    <cellStyle name="40% - 强调文字颜色 5 2 2 2 2 2" xfId="577"/>
    <cellStyle name="40% - 强调文字颜色 5 2 2 2 2 2 2" xfId="9483"/>
    <cellStyle name="40% - 强调文字颜色 5 2 2 2 2 3" xfId="578"/>
    <cellStyle name="40% - 强调文字颜色 5 2 2 2 2 3 2" xfId="9482"/>
    <cellStyle name="40% - 强调文字颜色 5 2 2 2 2 4" xfId="579"/>
    <cellStyle name="40% - 强调文字颜色 5 2 2 2 2 4 2" xfId="9481"/>
    <cellStyle name="40% - 强调文字颜色 5 2 2 2 2 5" xfId="4146"/>
    <cellStyle name="40% - 强调文字颜色 5 2 2 2 2 5 2" xfId="5686"/>
    <cellStyle name="40% - 强调文字颜色 5 2 2 2 2 6" xfId="8723"/>
    <cellStyle name="40% - 强调文字颜色 5 2 2 2 3" xfId="580"/>
    <cellStyle name="40% - 强调文字颜色 5 2 2 2 3 2" xfId="8722"/>
    <cellStyle name="40% - 强调文字颜色 5 2 2 2 4" xfId="581"/>
    <cellStyle name="40% - 强调文字颜色 5 2 2 2 4 2" xfId="8721"/>
    <cellStyle name="40% - 强调文字颜色 5 2 2 2 5" xfId="582"/>
    <cellStyle name="40% - 强调文字颜色 5 2 2 2 5 2" xfId="9480"/>
    <cellStyle name="40% - 强调文字颜色 5 2 2 2 6" xfId="583"/>
    <cellStyle name="40% - 强调文字颜色 5 2 2 2 6 2" xfId="9479"/>
    <cellStyle name="40% - 强调文字颜色 5 2 2 2 7" xfId="4145"/>
    <cellStyle name="40% - 强调文字颜色 5 2 2 2 7 2" xfId="5831"/>
    <cellStyle name="40% - 强调文字颜色 5 2 2 2 8" xfId="8724"/>
    <cellStyle name="40% - 强调文字颜色 5 2 2 3" xfId="584"/>
    <cellStyle name="40% - 强调文字颜色 5 2 2 3 2" xfId="585"/>
    <cellStyle name="40% - 强调文字颜色 5 2 2 3 2 2" xfId="5684"/>
    <cellStyle name="40% - 强调文字颜色 5 2 2 3 3" xfId="586"/>
    <cellStyle name="40% - 强调文字颜色 5 2 2 3 3 2" xfId="9478"/>
    <cellStyle name="40% - 强调文字颜色 5 2 2 3 4" xfId="587"/>
    <cellStyle name="40% - 强调文字颜色 5 2 2 3 4 2" xfId="9477"/>
    <cellStyle name="40% - 强调文字颜色 5 2 2 3 5" xfId="4147"/>
    <cellStyle name="40% - 强调文字颜色 5 2 2 3 5 2" xfId="5832"/>
    <cellStyle name="40% - 强调文字颜色 5 2 2 3 6" xfId="8720"/>
    <cellStyle name="40% - 强调文字颜色 5 2 2 4" xfId="588"/>
    <cellStyle name="40% - 强调文字颜色 5 2 2 4 2" xfId="8719"/>
    <cellStyle name="40% - 强调文字颜色 5 2 2 4 3" xfId="9476"/>
    <cellStyle name="40% - 强调文字颜色 5 2 2 5" xfId="589"/>
    <cellStyle name="40% - 强调文字颜色 5 2 2 5 2" xfId="8718"/>
    <cellStyle name="40% - 强调文字颜色 5 2 2 6" xfId="590"/>
    <cellStyle name="40% - 强调文字颜色 5 2 2 6 2" xfId="8717"/>
    <cellStyle name="40% - 强调文字颜色 5 2 2 7" xfId="591"/>
    <cellStyle name="40% - 强调文字颜色 5 2 2 7 2" xfId="9475"/>
    <cellStyle name="40% - 强调文字颜色 5 2 2 8" xfId="4144"/>
    <cellStyle name="40% - 强调文字颜色 5 2 3" xfId="592"/>
    <cellStyle name="40% - 强调文字颜色 5 2 3 2" xfId="593"/>
    <cellStyle name="40% - 强调文字颜色 5 2 3 2 2" xfId="594"/>
    <cellStyle name="40% - 强调文字颜色 5 2 3 2 2 2" xfId="595"/>
    <cellStyle name="40% - 强调文字颜色 5 2 3 2 2 2 2" xfId="9474"/>
    <cellStyle name="40% - 强调文字颜色 5 2 3 2 2 3" xfId="596"/>
    <cellStyle name="40% - 强调文字颜色 5 2 3 2 2 3 2" xfId="9473"/>
    <cellStyle name="40% - 强调文字颜色 5 2 3 2 2 4" xfId="597"/>
    <cellStyle name="40% - 强调文字颜色 5 2 3 2 2 4 2" xfId="9472"/>
    <cellStyle name="40% - 强调文字颜色 5 2 3 2 2 5" xfId="4150"/>
    <cellStyle name="40% - 强调文字颜色 5 2 3 2 2 5 2" xfId="5679"/>
    <cellStyle name="40% - 强调文字颜色 5 2 3 2 2 6" xfId="8715"/>
    <cellStyle name="40% - 强调文字颜色 5 2 3 2 3" xfId="598"/>
    <cellStyle name="40% - 强调文字颜色 5 2 3 2 3 2" xfId="8714"/>
    <cellStyle name="40% - 强调文字颜色 5 2 3 2 4" xfId="599"/>
    <cellStyle name="40% - 强调文字颜色 5 2 3 2 4 2" xfId="8713"/>
    <cellStyle name="40% - 强调文字颜色 5 2 3 2 5" xfId="600"/>
    <cellStyle name="40% - 强调文字颜色 5 2 3 2 5 2" xfId="9709"/>
    <cellStyle name="40% - 强调文字颜色 5 2 3 2 6" xfId="601"/>
    <cellStyle name="40% - 强调文字颜色 5 2 3 2 6 2" xfId="9467"/>
    <cellStyle name="40% - 强调文字颜色 5 2 3 2 7" xfId="4149"/>
    <cellStyle name="40% - 强调文字颜色 5 2 3 2 7 2" xfId="5835"/>
    <cellStyle name="40% - 强调文字颜色 5 2 3 2 8" xfId="8716"/>
    <cellStyle name="40% - 强调文字颜色 5 2 3 3" xfId="602"/>
    <cellStyle name="40% - 强调文字颜色 5 2 3 3 2" xfId="603"/>
    <cellStyle name="40% - 强调文字颜色 5 2 3 3 2 2" xfId="5676"/>
    <cellStyle name="40% - 强调文字颜色 5 2 3 3 3" xfId="604"/>
    <cellStyle name="40% - 强调文字颜色 5 2 3 3 3 2" xfId="9712"/>
    <cellStyle name="40% - 强调文字颜色 5 2 3 3 4" xfId="605"/>
    <cellStyle name="40% - 强调文字颜色 5 2 3 3 4 2" xfId="9471"/>
    <cellStyle name="40% - 强调文字颜色 5 2 3 3 5" xfId="4151"/>
    <cellStyle name="40% - 强调文字颜色 5 2 3 3 5 2" xfId="5837"/>
    <cellStyle name="40% - 强调文字颜色 5 2 3 3 6" xfId="8712"/>
    <cellStyle name="40% - 强调文字颜色 5 2 3 4" xfId="606"/>
    <cellStyle name="40% - 强调文字颜色 5 2 3 4 2" xfId="5674"/>
    <cellStyle name="40% - 强调文字颜色 5 2 3 4 3" xfId="8711"/>
    <cellStyle name="40% - 强调文字颜色 5 2 3 5" xfId="607"/>
    <cellStyle name="40% - 强调文字颜色 5 2 3 5 2" xfId="8710"/>
    <cellStyle name="40% - 强调文字颜色 5 2 3 6" xfId="608"/>
    <cellStyle name="40% - 强调文字颜色 5 2 3 6 2" xfId="8709"/>
    <cellStyle name="40% - 强调文字颜色 5 2 3 7" xfId="609"/>
    <cellStyle name="40% - 强调文字颜色 5 2 3 7 2" xfId="9710"/>
    <cellStyle name="40% - 强调文字颜色 5 2 3 8" xfId="610"/>
    <cellStyle name="40% - 强调文字颜色 5 2 3 8 2" xfId="4900"/>
    <cellStyle name="40% - 强调文字颜色 5 2 3 9" xfId="4148"/>
    <cellStyle name="40% - 强调文字颜色 5 2 3 9 2" xfId="5834"/>
    <cellStyle name="40% - 强调文字颜色 5 2 4" xfId="611"/>
    <cellStyle name="40% - 强调文字颜色 5 2 4 2" xfId="612"/>
    <cellStyle name="40% - 强调文字颜色 5 2 4 2 2" xfId="7977"/>
    <cellStyle name="40% - 强调文字颜色 5 2 4 3" xfId="613"/>
    <cellStyle name="40% - 强调文字颜色 5 2 4 3 2" xfId="7978"/>
    <cellStyle name="40% - 强调文字颜色 5 2 4 4" xfId="614"/>
    <cellStyle name="40% - 强调文字颜色 5 2 4 4 2" xfId="4901"/>
    <cellStyle name="40% - 强调文字颜色 5 2 4 5" xfId="615"/>
    <cellStyle name="40% - 强调文字颜色 5 2 4 5 2" xfId="4902"/>
    <cellStyle name="40% - 强调文字颜色 5 2 4 6" xfId="616"/>
    <cellStyle name="40% - 强调文字颜色 5 2 4 6 2" xfId="9711"/>
    <cellStyle name="40% - 强调文字颜色 5 2 4 7" xfId="4152"/>
    <cellStyle name="40% - 强调文字颜色 5 2 4 7 2" xfId="5840"/>
    <cellStyle name="40% - 强调文字颜色 5 2 4 8" xfId="8708"/>
    <cellStyle name="40% - 强调文字颜色 5 2 5" xfId="617"/>
    <cellStyle name="40% - 强调文字颜色 5 2 5 2" xfId="618"/>
    <cellStyle name="40% - 强调文字颜色 5 2 5 2 2" xfId="7979"/>
    <cellStyle name="40% - 强调文字颜色 5 2 5 3" xfId="4153"/>
    <cellStyle name="40% - 强调文字颜色 5 2 5 3 2" xfId="5842"/>
    <cellStyle name="40% - 强调文字颜色 5 2 5 4" xfId="8707"/>
    <cellStyle name="40% - 强调文字颜色 5 2 6" xfId="619"/>
    <cellStyle name="40% - 强调文字颜色 5 2 6 2" xfId="8706"/>
    <cellStyle name="40% - 强调文字颜色 5 2 7" xfId="620"/>
    <cellStyle name="40% - 强调文字颜色 5 2 7 2" xfId="8705"/>
    <cellStyle name="40% - 强调文字颜色 5 2 8" xfId="621"/>
    <cellStyle name="40% - 强调文字颜色 5 2 8 2" xfId="9717"/>
    <cellStyle name="40% - 强调文字颜色 5 2 9" xfId="622"/>
    <cellStyle name="40% - 强调文字颜色 5 2 9 2" xfId="9468"/>
    <cellStyle name="40% - 强调文字颜色 5 3" xfId="623"/>
    <cellStyle name="40% - 强调文字颜色 5 3 2" xfId="624"/>
    <cellStyle name="40% - 强调文字颜色 5 3 2 2" xfId="625"/>
    <cellStyle name="40% - 强调文字颜色 5 3 2 2 2" xfId="9713"/>
    <cellStyle name="40% - 强调文字颜色 5 3 2 3" xfId="4155"/>
    <cellStyle name="40% - 强调文字颜色 5 3 2 3 2" xfId="5843"/>
    <cellStyle name="40% - 强调文字颜色 5 3 2 4" xfId="7980"/>
    <cellStyle name="40% - 强调文字颜色 5 3 2 5" xfId="4903"/>
    <cellStyle name="40% - 强调文字颜色 5 3 3" xfId="626"/>
    <cellStyle name="40% - 强调文字颜色 5 3 3 2" xfId="4156"/>
    <cellStyle name="40% - 强调文字颜色 5 3 3 2 2" xfId="7981"/>
    <cellStyle name="40% - 强调文字颜色 5 3 4" xfId="627"/>
    <cellStyle name="40% - 强调文字颜色 5 3 4 2" xfId="9470"/>
    <cellStyle name="40% - 强调文字颜色 5 3 5" xfId="628"/>
    <cellStyle name="40% - 强调文字颜色 5 3 5 2" xfId="4904"/>
    <cellStyle name="40% - 强调文字颜色 5 3 6" xfId="4154"/>
    <cellStyle name="40% - 强调文字颜色 5 4" xfId="629"/>
    <cellStyle name="40% - 强调文字颜色 5 4 2" xfId="4157"/>
    <cellStyle name="40% - 强调文字颜色 5 4 3" xfId="9714"/>
    <cellStyle name="40% - 强调文字颜色 6 2" xfId="630"/>
    <cellStyle name="40% - 强调文字颜色 6 2 10" xfId="4158"/>
    <cellStyle name="40% - 强调文字颜色 6 2 10 2" xfId="5845"/>
    <cellStyle name="40% - 强调文字颜色 6 2 2" xfId="631"/>
    <cellStyle name="40% - 强调文字颜色 6 2 2 2" xfId="632"/>
    <cellStyle name="40% - 强调文字颜色 6 2 2 2 2" xfId="633"/>
    <cellStyle name="40% - 强调文字颜色 6 2 2 2 2 2" xfId="634"/>
    <cellStyle name="40% - 强调文字颜色 6 2 2 2 2 2 2" xfId="4905"/>
    <cellStyle name="40% - 强调文字颜色 6 2 2 2 2 3" xfId="635"/>
    <cellStyle name="40% - 强调文字颜色 6 2 2 2 2 3 2" xfId="9716"/>
    <cellStyle name="40% - 强调文字颜色 6 2 2 2 2 4" xfId="636"/>
    <cellStyle name="40% - 强调文字颜色 6 2 2 2 2 4 2" xfId="9469"/>
    <cellStyle name="40% - 强调文字颜色 6 2 2 2 2 5" xfId="4161"/>
    <cellStyle name="40% - 强调文字颜色 6 2 2 2 2 5 2" xfId="7983"/>
    <cellStyle name="40% - 强调文字颜色 6 2 2 2 2 6" xfId="8703"/>
    <cellStyle name="40% - 强调文字颜色 6 2 2 2 3" xfId="637"/>
    <cellStyle name="40% - 强调文字颜色 6 2 2 2 3 2" xfId="8702"/>
    <cellStyle name="40% - 强调文字颜色 6 2 2 2 4" xfId="638"/>
    <cellStyle name="40% - 强调文字颜色 6 2 2 2 4 2" xfId="8701"/>
    <cellStyle name="40% - 强调文字颜色 6 2 2 2 5" xfId="639"/>
    <cellStyle name="40% - 强调文字颜色 6 2 2 2 5 2" xfId="4906"/>
    <cellStyle name="40% - 强调文字颜色 6 2 2 2 6" xfId="640"/>
    <cellStyle name="40% - 强调文字颜色 6 2 2 2 6 2" xfId="9715"/>
    <cellStyle name="40% - 强调文字颜色 6 2 2 2 7" xfId="4160"/>
    <cellStyle name="40% - 强调文字颜色 6 2 2 2 7 2" xfId="5847"/>
    <cellStyle name="40% - 强调文字颜色 6 2 2 2 8" xfId="8704"/>
    <cellStyle name="40% - 强调文字颜色 6 2 2 3" xfId="641"/>
    <cellStyle name="40% - 强调文字颜色 6 2 2 3 2" xfId="642"/>
    <cellStyle name="40% - 强调文字颜色 6 2 2 3 2 2" xfId="7984"/>
    <cellStyle name="40% - 强调文字颜色 6 2 2 3 3" xfId="643"/>
    <cellStyle name="40% - 强调文字颜色 6 2 2 3 3 2" xfId="4907"/>
    <cellStyle name="40% - 强调文字颜色 6 2 2 3 4" xfId="644"/>
    <cellStyle name="40% - 强调文字颜色 6 2 2 3 4 2" xfId="4908"/>
    <cellStyle name="40% - 强调文字颜色 6 2 2 3 5" xfId="4162"/>
    <cellStyle name="40% - 强调文字颜色 6 2 2 3 5 2" xfId="5849"/>
    <cellStyle name="40% - 强调文字颜色 6 2 2 3 6" xfId="8700"/>
    <cellStyle name="40% - 强调文字颜色 6 2 2 4" xfId="645"/>
    <cellStyle name="40% - 强调文字颜色 6 2 2 4 2" xfId="8699"/>
    <cellStyle name="40% - 强调文字颜色 6 2 2 4 3" xfId="4909"/>
    <cellStyle name="40% - 强调文字颜色 6 2 2 5" xfId="646"/>
    <cellStyle name="40% - 强调文字颜色 6 2 2 5 2" xfId="8698"/>
    <cellStyle name="40% - 强调文字颜色 6 2 2 6" xfId="647"/>
    <cellStyle name="40% - 强调文字颜色 6 2 2 6 2" xfId="8697"/>
    <cellStyle name="40% - 强调文字颜色 6 2 2 7" xfId="648"/>
    <cellStyle name="40% - 强调文字颜色 6 2 2 7 2" xfId="9465"/>
    <cellStyle name="40% - 强调文字颜色 6 2 2 8" xfId="4159"/>
    <cellStyle name="40% - 强调文字颜色 6 2 3" xfId="649"/>
    <cellStyle name="40% - 强调文字颜色 6 2 3 2" xfId="650"/>
    <cellStyle name="40% - 强调文字颜色 6 2 3 2 2" xfId="651"/>
    <cellStyle name="40% - 强调文字颜色 6 2 3 2 2 2" xfId="652"/>
    <cellStyle name="40% - 强调文字颜色 6 2 3 2 2 2 2" xfId="9466"/>
    <cellStyle name="40% - 强调文字颜色 6 2 3 2 2 3" xfId="653"/>
    <cellStyle name="40% - 强调文字颜色 6 2 3 2 2 3 2" xfId="4910"/>
    <cellStyle name="40% - 强调文字颜色 6 2 3 2 2 4" xfId="654"/>
    <cellStyle name="40% - 强调文字颜色 6 2 3 2 2 4 2" xfId="4911"/>
    <cellStyle name="40% - 强调文字颜色 6 2 3 2 2 5" xfId="4165"/>
    <cellStyle name="40% - 强调文字颜色 6 2 3 2 2 5 2" xfId="7986"/>
    <cellStyle name="40% - 强调文字颜色 6 2 3 2 2 6" xfId="8695"/>
    <cellStyle name="40% - 强调文字颜色 6 2 3 2 3" xfId="655"/>
    <cellStyle name="40% - 强调文字颜色 6 2 3 2 3 2" xfId="8694"/>
    <cellStyle name="40% - 强调文字颜色 6 2 3 2 4" xfId="656"/>
    <cellStyle name="40% - 强调文字颜色 6 2 3 2 4 2" xfId="8693"/>
    <cellStyle name="40% - 强调文字颜色 6 2 3 2 5" xfId="657"/>
    <cellStyle name="40% - 强调文字颜色 6 2 3 2 5 2" xfId="4912"/>
    <cellStyle name="40% - 强调文字颜色 6 2 3 2 6" xfId="658"/>
    <cellStyle name="40% - 强调文字颜色 6 2 3 2 6 2" xfId="9718"/>
    <cellStyle name="40% - 强调文字颜色 6 2 3 2 7" xfId="4164"/>
    <cellStyle name="40% - 强调文字颜色 6 2 3 2 7 2" xfId="5852"/>
    <cellStyle name="40% - 强调文字颜色 6 2 3 2 8" xfId="8696"/>
    <cellStyle name="40% - 强调文字颜色 6 2 3 3" xfId="659"/>
    <cellStyle name="40% - 强调文字颜色 6 2 3 3 2" xfId="660"/>
    <cellStyle name="40% - 强调文字颜色 6 2 3 3 2 2" xfId="7988"/>
    <cellStyle name="40% - 强调文字颜色 6 2 3 3 3" xfId="661"/>
    <cellStyle name="40% - 强调文字颜色 6 2 3 3 3 2" xfId="4913"/>
    <cellStyle name="40% - 强调文字颜色 6 2 3 3 4" xfId="662"/>
    <cellStyle name="40% - 强调文字颜色 6 2 3 3 4 2" xfId="9719"/>
    <cellStyle name="40% - 强调文字颜色 6 2 3 3 5" xfId="4166"/>
    <cellStyle name="40% - 强调文字颜色 6 2 3 3 5 2" xfId="5854"/>
    <cellStyle name="40% - 强调文字颜色 6 2 3 3 6" xfId="8692"/>
    <cellStyle name="40% - 强调文字颜色 6 2 3 4" xfId="663"/>
    <cellStyle name="40% - 强调文字颜色 6 2 3 4 2" xfId="7989"/>
    <cellStyle name="40% - 强调文字颜色 6 2 3 4 3" xfId="8691"/>
    <cellStyle name="40% - 强调文字颜色 6 2 3 5" xfId="664"/>
    <cellStyle name="40% - 强调文字颜色 6 2 3 5 2" xfId="8690"/>
    <cellStyle name="40% - 强调文字颜色 6 2 3 6" xfId="665"/>
    <cellStyle name="40% - 强调文字颜色 6 2 3 6 2" xfId="8689"/>
    <cellStyle name="40% - 强调文字颜色 6 2 3 7" xfId="666"/>
    <cellStyle name="40% - 强调文字颜色 6 2 3 7 2" xfId="4914"/>
    <cellStyle name="40% - 强调文字颜色 6 2 3 8" xfId="667"/>
    <cellStyle name="40% - 强调文字颜色 6 2 3 8 2" xfId="4915"/>
    <cellStyle name="40% - 强调文字颜色 6 2 3 9" xfId="4163"/>
    <cellStyle name="40% - 强调文字颜色 6 2 3 9 2" xfId="5851"/>
    <cellStyle name="40% - 强调文字颜色 6 2 4" xfId="668"/>
    <cellStyle name="40% - 强调文字颜色 6 2 4 2" xfId="669"/>
    <cellStyle name="40% - 强调文字颜色 6 2 4 2 2" xfId="7991"/>
    <cellStyle name="40% - 强调文字颜色 6 2 4 3" xfId="670"/>
    <cellStyle name="40% - 强调文字颜色 6 2 4 3 2" xfId="7992"/>
    <cellStyle name="40% - 强调文字颜色 6 2 4 4" xfId="671"/>
    <cellStyle name="40% - 强调文字颜色 6 2 4 4 2" xfId="4916"/>
    <cellStyle name="40% - 强调文字颜色 6 2 4 5" xfId="672"/>
    <cellStyle name="40% - 强调文字颜色 6 2 4 5 2" xfId="4917"/>
    <cellStyle name="40% - 强调文字颜色 6 2 4 6" xfId="673"/>
    <cellStyle name="40% - 强调文字颜色 6 2 4 6 2" xfId="9720"/>
    <cellStyle name="40% - 强调文字颜色 6 2 4 7" xfId="4167"/>
    <cellStyle name="40% - 强调文字颜色 6 2 4 7 2" xfId="5857"/>
    <cellStyle name="40% - 强调文字颜色 6 2 4 8" xfId="8688"/>
    <cellStyle name="40% - 强调文字颜色 6 2 5" xfId="674"/>
    <cellStyle name="40% - 强调文字颜色 6 2 5 2" xfId="675"/>
    <cellStyle name="40% - 强调文字颜色 6 2 5 2 2" xfId="7994"/>
    <cellStyle name="40% - 强调文字颜色 6 2 5 3" xfId="4168"/>
    <cellStyle name="40% - 强调文字颜色 6 2 5 3 2" xfId="5860"/>
    <cellStyle name="40% - 强调文字颜色 6 2 5 4" xfId="8687"/>
    <cellStyle name="40% - 强调文字颜色 6 2 6" xfId="676"/>
    <cellStyle name="40% - 强调文字颜色 6 2 6 2" xfId="8686"/>
    <cellStyle name="40% - 强调文字颜色 6 2 7" xfId="677"/>
    <cellStyle name="40% - 强调文字颜色 6 2 7 2" xfId="8685"/>
    <cellStyle name="40% - 强调文字颜色 6 2 8" xfId="678"/>
    <cellStyle name="40% - 强调文字颜色 6 2 8 2" xfId="4918"/>
    <cellStyle name="40% - 强调文字颜色 6 2 9" xfId="679"/>
    <cellStyle name="40% - 强调文字颜色 6 2 9 2" xfId="4919"/>
    <cellStyle name="40% - 强调文字颜色 6 3" xfId="680"/>
    <cellStyle name="40% - 强调文字颜色 6 3 2" xfId="681"/>
    <cellStyle name="40% - 强调文字颜色 6 3 2 2" xfId="682"/>
    <cellStyle name="40% - 强调文字颜色 6 3 2 2 2" xfId="4921"/>
    <cellStyle name="40% - 强调文字颜色 6 3 2 3" xfId="4170"/>
    <cellStyle name="40% - 强调文字颜色 6 3 2 3 2" xfId="5861"/>
    <cellStyle name="40% - 强调文字颜色 6 3 2 4" xfId="7996"/>
    <cellStyle name="40% - 强调文字颜色 6 3 2 5" xfId="4920"/>
    <cellStyle name="40% - 强调文字颜色 6 3 3" xfId="683"/>
    <cellStyle name="40% - 强调文字颜色 6 3 3 2" xfId="4171"/>
    <cellStyle name="40% - 强调文字颜色 6 3 3 2 2" xfId="7997"/>
    <cellStyle name="40% - 强调文字颜色 6 3 4" xfId="684"/>
    <cellStyle name="40% - 强调文字颜色 6 3 4 2" xfId="4922"/>
    <cellStyle name="40% - 强调文字颜色 6 3 5" xfId="685"/>
    <cellStyle name="40% - 强调文字颜色 6 3 5 2" xfId="9722"/>
    <cellStyle name="40% - 强调文字颜色 6 3 6" xfId="4169"/>
    <cellStyle name="40% - 强调文字颜色 6 4" xfId="686"/>
    <cellStyle name="40% - 强调文字颜色 6 4 2" xfId="4172"/>
    <cellStyle name="40% - 强调文字颜色 6 4 3" xfId="9461"/>
    <cellStyle name="60% - 强调文字颜色 1 2" xfId="687"/>
    <cellStyle name="60% - 强调文字颜色 1 2 2" xfId="688"/>
    <cellStyle name="60% - 强调文字颜色 1 2 2 2" xfId="689"/>
    <cellStyle name="60% - 强调文字颜色 1 2 2 2 2" xfId="690"/>
    <cellStyle name="60% - 强调文字颜色 1 2 2 2 2 2" xfId="691"/>
    <cellStyle name="60% - 强调文字颜色 1 2 2 2 2 2 2" xfId="9464"/>
    <cellStyle name="60% - 强调文字颜色 1 2 2 2 2 3" xfId="4176"/>
    <cellStyle name="60% - 强调文字颜色 1 2 2 2 2 3 2" xfId="5866"/>
    <cellStyle name="60% - 强调文字颜色 1 2 2 2 2 4" xfId="8682"/>
    <cellStyle name="60% - 强调文字颜色 1 2 2 2 3" xfId="692"/>
    <cellStyle name="60% - 强调文字颜色 1 2 2 2 3 2" xfId="4923"/>
    <cellStyle name="60% - 强调文字颜色 1 2 2 2 4" xfId="693"/>
    <cellStyle name="60% - 强调文字颜色 1 2 2 2 4 2" xfId="9721"/>
    <cellStyle name="60% - 强调文字颜色 1 2 2 2 5" xfId="694"/>
    <cellStyle name="60% - 强调文字颜色 1 2 2 2 5 2" xfId="9463"/>
    <cellStyle name="60% - 强调文字颜色 1 2 2 2 6" xfId="4175"/>
    <cellStyle name="60% - 强调文字颜色 1 2 2 2 6 2" xfId="5865"/>
    <cellStyle name="60% - 强调文字颜色 1 2 2 2 7" xfId="8683"/>
    <cellStyle name="60% - 强调文字颜色 1 2 2 3" xfId="695"/>
    <cellStyle name="60% - 强调文字颜色 1 2 2 3 2" xfId="696"/>
    <cellStyle name="60% - 强调文字颜色 1 2 2 3 2 2" xfId="4924"/>
    <cellStyle name="60% - 强调文字颜色 1 2 2 3 3" xfId="697"/>
    <cellStyle name="60% - 强调文字颜色 1 2 2 3 3 2" xfId="4925"/>
    <cellStyle name="60% - 强调文字颜色 1 2 2 3 4" xfId="698"/>
    <cellStyle name="60% - 强调文字颜色 1 2 2 3 4 2" xfId="4926"/>
    <cellStyle name="60% - 强调文字颜色 1 2 2 3 5" xfId="4177"/>
    <cellStyle name="60% - 强调文字颜色 1 2 2 3 5 2" xfId="5867"/>
    <cellStyle name="60% - 强调文字颜色 1 2 2 3 6" xfId="8681"/>
    <cellStyle name="60% - 强调文字颜色 1 2 2 4" xfId="699"/>
    <cellStyle name="60% - 强调文字颜色 1 2 2 4 2" xfId="5868"/>
    <cellStyle name="60% - 强调文字颜色 1 2 2 5" xfId="700"/>
    <cellStyle name="60% - 强调文字颜色 1 2 2 5 2" xfId="8680"/>
    <cellStyle name="60% - 强调文字颜色 1 2 2 6" xfId="701"/>
    <cellStyle name="60% - 强调文字颜色 1 2 2 6 2" xfId="4927"/>
    <cellStyle name="60% - 强调文字颜色 1 2 2 7" xfId="702"/>
    <cellStyle name="60% - 强调文字颜色 1 2 2 7 2" xfId="4928"/>
    <cellStyle name="60% - 强调文字颜色 1 2 2 8" xfId="4174"/>
    <cellStyle name="60% - 强调文字颜色 1 2 2 8 2" xfId="5864"/>
    <cellStyle name="60% - 强调文字颜色 1 2 2 9" xfId="8684"/>
    <cellStyle name="60% - 强调文字颜色 1 2 3" xfId="703"/>
    <cellStyle name="60% - 强调文字颜色 1 2 3 2" xfId="704"/>
    <cellStyle name="60% - 强调文字颜色 1 2 3 2 2" xfId="705"/>
    <cellStyle name="60% - 强调文字颜色 1 2 3 2 2 2" xfId="706"/>
    <cellStyle name="60% - 强调文字颜色 1 2 3 2 2 2 2" xfId="4929"/>
    <cellStyle name="60% - 强调文字颜色 1 2 3 2 2 3" xfId="4180"/>
    <cellStyle name="60% - 强调文字颜色 1 2 3 2 2 4" xfId="9462"/>
    <cellStyle name="60% - 强调文字颜色 1 2 3 2 3" xfId="707"/>
    <cellStyle name="60% - 强调文字颜色 1 2 3 2 3 2" xfId="4930"/>
    <cellStyle name="60% - 强调文字颜色 1 2 3 2 4" xfId="708"/>
    <cellStyle name="60% - 强调文字颜色 1 2 3 2 4 2" xfId="4931"/>
    <cellStyle name="60% - 强调文字颜色 1 2 3 2 5" xfId="4179"/>
    <cellStyle name="60% - 强调文字颜色 1 2 3 2 5 2" xfId="5870"/>
    <cellStyle name="60% - 强调文字颜色 1 2 3 2 6" xfId="8678"/>
    <cellStyle name="60% - 强调文字颜色 1 2 3 3" xfId="709"/>
    <cellStyle name="60% - 强调文字颜色 1 2 3 3 2" xfId="710"/>
    <cellStyle name="60% - 强调文字颜色 1 2 3 3 2 2" xfId="4933"/>
    <cellStyle name="60% - 强调文字颜色 1 2 3 3 3" xfId="4181"/>
    <cellStyle name="60% - 强调文字颜色 1 2 3 3 4" xfId="4932"/>
    <cellStyle name="60% - 强调文字颜色 1 2 3 4" xfId="711"/>
    <cellStyle name="60% - 强调文字颜色 1 2 3 4 2" xfId="4934"/>
    <cellStyle name="60% - 强调文字颜色 1 2 3 5" xfId="712"/>
    <cellStyle name="60% - 强调文字颜色 1 2 3 5 2" xfId="9458"/>
    <cellStyle name="60% - 强调文字颜色 1 2 3 6" xfId="713"/>
    <cellStyle name="60% - 强调文字颜色 1 2 3 6 2" xfId="4935"/>
    <cellStyle name="60% - 强调文字颜色 1 2 3 7" xfId="4178"/>
    <cellStyle name="60% - 强调文字颜色 1 2 3 7 2" xfId="5869"/>
    <cellStyle name="60% - 强调文字颜色 1 2 3 8" xfId="8679"/>
    <cellStyle name="60% - 强调文字颜色 1 2 4" xfId="714"/>
    <cellStyle name="60% - 强调文字颜色 1 2 4 2" xfId="715"/>
    <cellStyle name="60% - 强调文字颜色 1 2 4 2 2" xfId="4936"/>
    <cellStyle name="60% - 强调文字颜色 1 2 4 3" xfId="716"/>
    <cellStyle name="60% - 强调文字颜色 1 2 4 3 2" xfId="9459"/>
    <cellStyle name="60% - 强调文字颜色 1 2 4 4" xfId="4182"/>
    <cellStyle name="60% - 强调文字颜色 1 2 4 5" xfId="9460"/>
    <cellStyle name="60% - 强调文字颜色 1 2 5" xfId="717"/>
    <cellStyle name="60% - 强调文字颜色 1 2 5 2" xfId="4183"/>
    <cellStyle name="60% - 强调文字颜色 1 2 5 3" xfId="4937"/>
    <cellStyle name="60% - 强调文字颜色 1 2 6" xfId="718"/>
    <cellStyle name="60% - 强调文字颜色 1 2 6 2" xfId="8677"/>
    <cellStyle name="60% - 强调文字颜色 1 2 7" xfId="719"/>
    <cellStyle name="60% - 强调文字颜色 1 2 7 2" xfId="8676"/>
    <cellStyle name="60% - 强调文字颜色 1 2 8" xfId="720"/>
    <cellStyle name="60% - 强调文字颜色 1 2 8 2" xfId="9453"/>
    <cellStyle name="60% - 强调文字颜色 1 2 9" xfId="4173"/>
    <cellStyle name="60% - 强调文字颜色 1 2 9 2" xfId="5863"/>
    <cellStyle name="60% - 强调文字颜色 1 3" xfId="721"/>
    <cellStyle name="60% - 强调文字颜色 1 3 2" xfId="722"/>
    <cellStyle name="60% - 强调文字颜色 1 3 2 2" xfId="723"/>
    <cellStyle name="60% - 强调文字颜色 1 3 2 2 2" xfId="4938"/>
    <cellStyle name="60% - 强调文字颜色 1 3 2 3" xfId="4185"/>
    <cellStyle name="60% - 强调文字颜色 1 3 2 4" xfId="9723"/>
    <cellStyle name="60% - 强调文字颜色 1 3 3" xfId="724"/>
    <cellStyle name="60% - 强调文字颜色 1 3 3 2" xfId="4186"/>
    <cellStyle name="60% - 强调文字颜色 1 3 3 2 2" xfId="5871"/>
    <cellStyle name="60% - 强调文字颜色 1 3 4" xfId="725"/>
    <cellStyle name="60% - 强调文字颜色 1 3 4 2" xfId="4939"/>
    <cellStyle name="60% - 强调文字颜色 1 3 5" xfId="4184"/>
    <cellStyle name="60% - 强调文字颜色 1 4" xfId="726"/>
    <cellStyle name="60% - 强调文字颜色 1 4 2" xfId="4187"/>
    <cellStyle name="60% - 强调文字颜色 1 4 3" xfId="9724"/>
    <cellStyle name="60% - 强调文字颜色 2 2" xfId="727"/>
    <cellStyle name="60% - 强调文字颜色 2 2 2" xfId="728"/>
    <cellStyle name="60% - 强调文字颜色 2 2 2 2" xfId="729"/>
    <cellStyle name="60% - 强调文字颜色 2 2 2 2 2" xfId="730"/>
    <cellStyle name="60% - 强调文字颜色 2 2 2 2 2 2" xfId="731"/>
    <cellStyle name="60% - 强调文字颜色 2 2 2 2 2 2 2" xfId="4940"/>
    <cellStyle name="60% - 强调文字颜色 2 2 2 2 2 3" xfId="4191"/>
    <cellStyle name="60% - 强调文字颜色 2 2 2 2 2 3 2" xfId="5875"/>
    <cellStyle name="60% - 强调文字颜色 2 2 2 2 2 4" xfId="8673"/>
    <cellStyle name="60% - 强调文字颜色 2 2 2 2 3" xfId="732"/>
    <cellStyle name="60% - 强调文字颜色 2 2 2 2 3 2" xfId="9726"/>
    <cellStyle name="60% - 强调文字颜色 2 2 2 2 4" xfId="733"/>
    <cellStyle name="60% - 强调文字颜色 2 2 2 2 4 2" xfId="9456"/>
    <cellStyle name="60% - 强调文字颜色 2 2 2 2 5" xfId="734"/>
    <cellStyle name="60% - 强调文字颜色 2 2 2 2 5 2" xfId="4941"/>
    <cellStyle name="60% - 强调文字颜色 2 2 2 2 6" xfId="4190"/>
    <cellStyle name="60% - 强调文字颜色 2 2 2 2 6 2" xfId="5874"/>
    <cellStyle name="60% - 强调文字颜色 2 2 2 2 7" xfId="8674"/>
    <cellStyle name="60% - 强调文字颜色 2 2 2 3" xfId="735"/>
    <cellStyle name="60% - 强调文字颜色 2 2 2 3 2" xfId="736"/>
    <cellStyle name="60% - 强调文字颜色 2 2 2 3 2 2" xfId="4942"/>
    <cellStyle name="60% - 强调文字颜色 2 2 2 3 3" xfId="737"/>
    <cellStyle name="60% - 强调文字颜色 2 2 2 3 3 2" xfId="9725"/>
    <cellStyle name="60% - 强调文字颜色 2 2 2 3 4" xfId="738"/>
    <cellStyle name="60% - 强调文字颜色 2 2 2 3 4 2" xfId="4943"/>
    <cellStyle name="60% - 强调文字颜色 2 2 2 3 5" xfId="4192"/>
    <cellStyle name="60% - 强调文字颜色 2 2 2 3 5 2" xfId="5876"/>
    <cellStyle name="60% - 强调文字颜色 2 2 2 3 6" xfId="8672"/>
    <cellStyle name="60% - 强调文字颜色 2 2 2 4" xfId="739"/>
    <cellStyle name="60% - 强调文字颜色 2 2 2 4 2" xfId="5877"/>
    <cellStyle name="60% - 强调文字颜色 2 2 2 5" xfId="740"/>
    <cellStyle name="60% - 强调文字颜色 2 2 2 5 2" xfId="8671"/>
    <cellStyle name="60% - 强调文字颜色 2 2 2 6" xfId="741"/>
    <cellStyle name="60% - 强调文字颜色 2 2 2 6 2" xfId="9457"/>
    <cellStyle name="60% - 强调文字颜色 2 2 2 7" xfId="742"/>
    <cellStyle name="60% - 强调文字颜色 2 2 2 7 2" xfId="4944"/>
    <cellStyle name="60% - 强调文字颜色 2 2 2 8" xfId="4189"/>
    <cellStyle name="60% - 强调文字颜色 2 2 2 8 2" xfId="5873"/>
    <cellStyle name="60% - 强调文字颜色 2 2 2 9" xfId="8675"/>
    <cellStyle name="60% - 强调文字颜色 2 2 3" xfId="743"/>
    <cellStyle name="60% - 强调文字颜色 2 2 3 2" xfId="744"/>
    <cellStyle name="60% - 强调文字颜色 2 2 3 2 2" xfId="745"/>
    <cellStyle name="60% - 强调文字颜色 2 2 3 2 2 2" xfId="746"/>
    <cellStyle name="60% - 强调文字颜色 2 2 3 2 2 2 2" xfId="4946"/>
    <cellStyle name="60% - 强调文字颜色 2 2 3 2 2 3" xfId="4195"/>
    <cellStyle name="60% - 强调文字颜色 2 2 3 2 2 4" xfId="4945"/>
    <cellStyle name="60% - 强调文字颜色 2 2 3 2 3" xfId="747"/>
    <cellStyle name="60% - 强调文字颜色 2 2 3 2 3 2" xfId="4947"/>
    <cellStyle name="60% - 强调文字颜色 2 2 3 2 4" xfId="748"/>
    <cellStyle name="60% - 强调文字颜色 2 2 3 2 4 2" xfId="5795"/>
    <cellStyle name="60% - 强调文字颜色 2 2 3 2 5" xfId="4194"/>
    <cellStyle name="60% - 强调文字颜色 2 2 3 2 5 2" xfId="5879"/>
    <cellStyle name="60% - 强调文字颜色 2 2 3 2 6" xfId="8669"/>
    <cellStyle name="60% - 强调文字颜色 2 2 3 3" xfId="749"/>
    <cellStyle name="60% - 强调文字颜色 2 2 3 3 2" xfId="750"/>
    <cellStyle name="60% - 强调文字颜色 2 2 3 3 2 2" xfId="9454"/>
    <cellStyle name="60% - 强调文字颜色 2 2 3 3 3" xfId="4196"/>
    <cellStyle name="60% - 强调文字颜色 2 2 3 3 4" xfId="9730"/>
    <cellStyle name="60% - 强调文字颜色 2 2 3 4" xfId="751"/>
    <cellStyle name="60% - 强调文字颜色 2 2 3 4 2" xfId="4948"/>
    <cellStyle name="60% - 强调文字颜色 2 2 3 5" xfId="752"/>
    <cellStyle name="60% - 强调文字颜色 2 2 3 5 2" xfId="4949"/>
    <cellStyle name="60% - 强调文字颜色 2 2 3 6" xfId="753"/>
    <cellStyle name="60% - 强调文字颜色 2 2 3 6 2" xfId="9727"/>
    <cellStyle name="60% - 强调文字颜色 2 2 3 7" xfId="4193"/>
    <cellStyle name="60% - 强调文字颜色 2 2 3 7 2" xfId="5878"/>
    <cellStyle name="60% - 强调文字颜色 2 2 3 8" xfId="8670"/>
    <cellStyle name="60% - 强调文字颜色 2 2 4" xfId="754"/>
    <cellStyle name="60% - 强调文字颜色 2 2 4 2" xfId="755"/>
    <cellStyle name="60% - 强调文字颜色 2 2 4 2 2" xfId="9455"/>
    <cellStyle name="60% - 强调文字颜色 2 2 4 3" xfId="756"/>
    <cellStyle name="60% - 强调文字颜色 2 2 4 3 2" xfId="4951"/>
    <cellStyle name="60% - 强调文字颜色 2 2 4 4" xfId="4197"/>
    <cellStyle name="60% - 强调文字颜色 2 2 4 5" xfId="4950"/>
    <cellStyle name="60% - 强调文字颜色 2 2 5" xfId="757"/>
    <cellStyle name="60% - 强调文字颜色 2 2 5 2" xfId="4198"/>
    <cellStyle name="60% - 强调文字颜色 2 2 5 3" xfId="9728"/>
    <cellStyle name="60% - 强调文字颜色 2 2 6" xfId="758"/>
    <cellStyle name="60% - 强调文字颜色 2 2 6 2" xfId="8667"/>
    <cellStyle name="60% - 强调文字颜色 2 2 7" xfId="759"/>
    <cellStyle name="60% - 强调文字颜色 2 2 7 2" xfId="8666"/>
    <cellStyle name="60% - 强调文字颜色 2 2 8" xfId="760"/>
    <cellStyle name="60% - 强调文字颜色 2 2 8 2" xfId="4952"/>
    <cellStyle name="60% - 强调文字颜色 2 2 9" xfId="4188"/>
    <cellStyle name="60% - 强调文字颜色 2 2 9 2" xfId="5872"/>
    <cellStyle name="60% - 强调文字颜色 2 3" xfId="761"/>
    <cellStyle name="60% - 强调文字颜色 2 3 2" xfId="762"/>
    <cellStyle name="60% - 强调文字颜色 2 3 2 2" xfId="763"/>
    <cellStyle name="60% - 强调文字颜色 2 3 2 2 2" xfId="9729"/>
    <cellStyle name="60% - 强调文字颜色 2 3 2 3" xfId="4200"/>
    <cellStyle name="60% - 强调文字颜色 2 3 2 4" xfId="4953"/>
    <cellStyle name="60% - 强调文字颜色 2 3 3" xfId="764"/>
    <cellStyle name="60% - 强调文字颜色 2 3 3 2" xfId="4201"/>
    <cellStyle name="60% - 强调文字颜色 2 3 3 2 2" xfId="5881"/>
    <cellStyle name="60% - 强调文字颜色 2 3 4" xfId="765"/>
    <cellStyle name="60% - 强调文字颜色 2 3 4 2" xfId="4954"/>
    <cellStyle name="60% - 强调文字颜色 2 3 5" xfId="4199"/>
    <cellStyle name="60% - 强调文字颜色 2 4" xfId="766"/>
    <cellStyle name="60% - 强调文字颜色 2 4 2" xfId="4202"/>
    <cellStyle name="60% - 强调文字颜色 2 4 3" xfId="4955"/>
    <cellStyle name="60% - 强调文字颜色 3 2" xfId="767"/>
    <cellStyle name="60% - 强调文字颜色 3 2 2" xfId="768"/>
    <cellStyle name="60% - 强调文字颜色 3 2 2 2" xfId="769"/>
    <cellStyle name="60% - 强调文字颜色 3 2 2 2 2" xfId="770"/>
    <cellStyle name="60% - 强调文字颜色 3 2 2 2 2 2" xfId="771"/>
    <cellStyle name="60% - 强调文字颜色 3 2 2 2 2 2 2" xfId="4956"/>
    <cellStyle name="60% - 强调文字颜色 3 2 2 2 2 3" xfId="4206"/>
    <cellStyle name="60% - 强调文字颜色 3 2 2 2 2 3 2" xfId="5885"/>
    <cellStyle name="60% - 强调文字颜色 3 2 2 2 2 4" xfId="8663"/>
    <cellStyle name="60% - 强调文字颜色 3 2 2 2 3" xfId="772"/>
    <cellStyle name="60% - 强调文字颜色 3 2 2 2 3 2" xfId="4957"/>
    <cellStyle name="60% - 强调文字颜色 3 2 2 2 4" xfId="773"/>
    <cellStyle name="60% - 强调文字颜色 3 2 2 2 4 2" xfId="4958"/>
    <cellStyle name="60% - 强调文字颜色 3 2 2 2 5" xfId="774"/>
    <cellStyle name="60% - 强调文字颜色 3 2 2 2 5 2" xfId="4959"/>
    <cellStyle name="60% - 强调文字颜色 3 2 2 2 6" xfId="4205"/>
    <cellStyle name="60% - 强调文字颜色 3 2 2 2 6 2" xfId="5884"/>
    <cellStyle name="60% - 强调文字颜色 3 2 2 2 7" xfId="8664"/>
    <cellStyle name="60% - 强调文字颜色 3 2 2 3" xfId="775"/>
    <cellStyle name="60% - 强调文字颜色 3 2 2 3 2" xfId="776"/>
    <cellStyle name="60% - 强调文字颜色 3 2 2 3 2 2" xfId="9451"/>
    <cellStyle name="60% - 强调文字颜色 3 2 2 3 3" xfId="777"/>
    <cellStyle name="60% - 强调文字颜色 3 2 2 3 3 2" xfId="4960"/>
    <cellStyle name="60% - 强调文字颜色 3 2 2 3 4" xfId="778"/>
    <cellStyle name="60% - 强调文字颜色 3 2 2 3 4 2" xfId="9452"/>
    <cellStyle name="60% - 强调文字颜色 3 2 2 3 5" xfId="4207"/>
    <cellStyle name="60% - 强调文字颜色 3 2 2 3 5 2" xfId="5886"/>
    <cellStyle name="60% - 强调文字颜色 3 2 2 3 6" xfId="8662"/>
    <cellStyle name="60% - 强调文字颜色 3 2 2 4" xfId="779"/>
    <cellStyle name="60% - 强调文字颜色 3 2 2 4 2" xfId="5887"/>
    <cellStyle name="60% - 强调文字颜色 3 2 2 5" xfId="780"/>
    <cellStyle name="60% - 强调文字颜色 3 2 2 5 2" xfId="8661"/>
    <cellStyle name="60% - 强调文字颜色 3 2 2 6" xfId="781"/>
    <cellStyle name="60% - 强调文字颜色 3 2 2 6 2" xfId="4961"/>
    <cellStyle name="60% - 强调文字颜色 3 2 2 7" xfId="782"/>
    <cellStyle name="60% - 强调文字颜色 3 2 2 7 2" xfId="4962"/>
    <cellStyle name="60% - 强调文字颜色 3 2 2 8" xfId="4204"/>
    <cellStyle name="60% - 强调文字颜色 3 2 2 8 2" xfId="5883"/>
    <cellStyle name="60% - 强调文字颜色 3 2 2 9" xfId="8665"/>
    <cellStyle name="60% - 强调文字颜色 3 2 3" xfId="783"/>
    <cellStyle name="60% - 强调文字颜色 3 2 3 2" xfId="784"/>
    <cellStyle name="60% - 强调文字颜色 3 2 3 2 2" xfId="785"/>
    <cellStyle name="60% - 强调文字颜色 3 2 3 2 2 2" xfId="786"/>
    <cellStyle name="60% - 强调文字颜色 3 2 3 2 2 2 2" xfId="9731"/>
    <cellStyle name="60% - 强调文字颜色 3 2 3 2 2 3" xfId="4210"/>
    <cellStyle name="60% - 强调文字颜色 3 2 3 2 2 4" xfId="4963"/>
    <cellStyle name="60% - 强调文字颜色 3 2 3 2 3" xfId="787"/>
    <cellStyle name="60% - 强调文字颜色 3 2 3 2 3 2" xfId="4964"/>
    <cellStyle name="60% - 强调文字颜色 3 2 3 2 4" xfId="788"/>
    <cellStyle name="60% - 强调文字颜色 3 2 3 2 4 2" xfId="9732"/>
    <cellStyle name="60% - 强调文字颜色 3 2 3 2 5" xfId="4209"/>
    <cellStyle name="60% - 强调文字颜色 3 2 3 2 5 2" xfId="5889"/>
    <cellStyle name="60% - 强调文字颜色 3 2 3 2 6" xfId="8659"/>
    <cellStyle name="60% - 强调文字颜色 3 2 3 3" xfId="789"/>
    <cellStyle name="60% - 强调文字颜色 3 2 3 3 2" xfId="790"/>
    <cellStyle name="60% - 强调文字颜色 3 2 3 3 2 2" xfId="9733"/>
    <cellStyle name="60% - 强调文字颜色 3 2 3 3 3" xfId="4211"/>
    <cellStyle name="60% - 强调文字颜色 3 2 3 3 4" xfId="4965"/>
    <cellStyle name="60% - 强调文字颜色 3 2 3 4" xfId="791"/>
    <cellStyle name="60% - 强调文字颜色 3 2 3 4 2" xfId="4966"/>
    <cellStyle name="60% - 强调文字颜色 3 2 3 5" xfId="792"/>
    <cellStyle name="60% - 强调文字颜色 3 2 3 5 2" xfId="9734"/>
    <cellStyle name="60% - 强调文字颜色 3 2 3 6" xfId="793"/>
    <cellStyle name="60% - 强调文字颜色 3 2 3 6 2" xfId="4967"/>
    <cellStyle name="60% - 强调文字颜色 3 2 3 7" xfId="4208"/>
    <cellStyle name="60% - 强调文字颜色 3 2 3 7 2" xfId="5888"/>
    <cellStyle name="60% - 强调文字颜色 3 2 3 8" xfId="8660"/>
    <cellStyle name="60% - 强调文字颜色 3 2 4" xfId="794"/>
    <cellStyle name="60% - 强调文字颜色 3 2 4 2" xfId="795"/>
    <cellStyle name="60% - 强调文字颜色 3 2 4 2 2" xfId="4969"/>
    <cellStyle name="60% - 强调文字颜色 3 2 4 3" xfId="796"/>
    <cellStyle name="60% - 强调文字颜色 3 2 4 3 2" xfId="9735"/>
    <cellStyle name="60% - 强调文字颜色 3 2 4 4" xfId="4212"/>
    <cellStyle name="60% - 强调文字颜色 3 2 4 5" xfId="4968"/>
    <cellStyle name="60% - 强调文字颜色 3 2 5" xfId="797"/>
    <cellStyle name="60% - 强调文字颜色 3 2 5 2" xfId="4213"/>
    <cellStyle name="60% - 强调文字颜色 3 2 5 3" xfId="9449"/>
    <cellStyle name="60% - 强调文字颜色 3 2 6" xfId="798"/>
    <cellStyle name="60% - 强调文字颜色 3 2 6 2" xfId="8657"/>
    <cellStyle name="60% - 强调文字颜色 3 2 7" xfId="799"/>
    <cellStyle name="60% - 强调文字颜色 3 2 7 2" xfId="8656"/>
    <cellStyle name="60% - 强调文字颜色 3 2 8" xfId="800"/>
    <cellStyle name="60% - 强调文字颜色 3 2 8 2" xfId="4970"/>
    <cellStyle name="60% - 强调文字颜色 3 2 9" xfId="4203"/>
    <cellStyle name="60% - 强调文字颜色 3 2 9 2" xfId="5882"/>
    <cellStyle name="60% - 强调文字颜色 3 3" xfId="801"/>
    <cellStyle name="60% - 强调文字颜色 3 3 2" xfId="802"/>
    <cellStyle name="60% - 强调文字颜色 3 3 2 2" xfId="803"/>
    <cellStyle name="60% - 强调文字颜色 3 3 2 2 2" xfId="4972"/>
    <cellStyle name="60% - 强调文字颜色 3 3 2 3" xfId="4215"/>
    <cellStyle name="60% - 强调文字颜色 3 3 2 4" xfId="4971"/>
    <cellStyle name="60% - 强调文字颜色 3 3 3" xfId="804"/>
    <cellStyle name="60% - 强调文字颜色 3 3 3 2" xfId="4216"/>
    <cellStyle name="60% - 强调文字颜色 3 3 3 2 2" xfId="5890"/>
    <cellStyle name="60% - 强调文字颜色 3 3 4" xfId="805"/>
    <cellStyle name="60% - 强调文字颜色 3 3 4 2" xfId="9450"/>
    <cellStyle name="60% - 强调文字颜色 3 3 5" xfId="4214"/>
    <cellStyle name="60% - 强调文字颜色 3 4" xfId="806"/>
    <cellStyle name="60% - 强调文字颜色 3 4 2" xfId="4217"/>
    <cellStyle name="60% - 强调文字颜色 3 4 3" xfId="4973"/>
    <cellStyle name="60% - 强调文字颜色 4 2" xfId="807"/>
    <cellStyle name="60% - 强调文字颜色 4 2 2" xfId="808"/>
    <cellStyle name="60% - 强调文字颜色 4 2 2 2" xfId="809"/>
    <cellStyle name="60% - 强调文字颜色 4 2 2 2 2" xfId="810"/>
    <cellStyle name="60% - 强调文字颜色 4 2 2 2 2 2" xfId="811"/>
    <cellStyle name="60% - 强调文字颜色 4 2 2 2 2 2 2" xfId="4974"/>
    <cellStyle name="60% - 强调文字颜色 4 2 2 2 2 3" xfId="4221"/>
    <cellStyle name="60% - 强调文字颜色 4 2 2 2 2 3 2" xfId="5894"/>
    <cellStyle name="60% - 强调文字颜色 4 2 2 2 2 4" xfId="8653"/>
    <cellStyle name="60% - 强调文字颜色 4 2 2 2 3" xfId="812"/>
    <cellStyle name="60% - 强调文字颜色 4 2 2 2 3 2" xfId="4975"/>
    <cellStyle name="60% - 强调文字颜色 4 2 2 2 4" xfId="813"/>
    <cellStyle name="60% - 强调文字颜色 4 2 2 2 4 2" xfId="9740"/>
    <cellStyle name="60% - 强调文字颜色 4 2 2 2 5" xfId="814"/>
    <cellStyle name="60% - 强调文字颜色 4 2 2 2 5 2" xfId="9445"/>
    <cellStyle name="60% - 强调文字颜色 4 2 2 2 6" xfId="4220"/>
    <cellStyle name="60% - 强调文字颜色 4 2 2 2 6 2" xfId="5893"/>
    <cellStyle name="60% - 强调文字颜色 4 2 2 2 7" xfId="8654"/>
    <cellStyle name="60% - 强调文字颜色 4 2 2 3" xfId="815"/>
    <cellStyle name="60% - 强调文字颜色 4 2 2 3 2" xfId="816"/>
    <cellStyle name="60% - 强调文字颜色 4 2 2 3 2 2" xfId="4976"/>
    <cellStyle name="60% - 强调文字颜色 4 2 2 3 3" xfId="817"/>
    <cellStyle name="60% - 强调文字颜色 4 2 2 3 3 2" xfId="9736"/>
    <cellStyle name="60% - 强调文字颜色 4 2 2 3 4" xfId="818"/>
    <cellStyle name="60% - 强调文字颜色 4 2 2 3 4 2" xfId="4977"/>
    <cellStyle name="60% - 强调文字颜色 4 2 2 3 5" xfId="4222"/>
    <cellStyle name="60% - 强调文字颜色 4 2 2 3 5 2" xfId="5895"/>
    <cellStyle name="60% - 强调文字颜色 4 2 2 3 6" xfId="8652"/>
    <cellStyle name="60% - 强调文字颜色 4 2 2 4" xfId="819"/>
    <cellStyle name="60% - 强调文字颜色 4 2 2 4 2" xfId="5896"/>
    <cellStyle name="60% - 强调文字颜色 4 2 2 5" xfId="820"/>
    <cellStyle name="60% - 强调文字颜色 4 2 2 5 2" xfId="8651"/>
    <cellStyle name="60% - 强调文字颜色 4 2 2 6" xfId="821"/>
    <cellStyle name="60% - 强调文字颜色 4 2 2 6 2" xfId="9737"/>
    <cellStyle name="60% - 强调文字颜色 4 2 2 7" xfId="822"/>
    <cellStyle name="60% - 强调文字颜色 4 2 2 7 2" xfId="9448"/>
    <cellStyle name="60% - 强调文字颜色 4 2 2 8" xfId="4219"/>
    <cellStyle name="60% - 强调文字颜色 4 2 2 8 2" xfId="5892"/>
    <cellStyle name="60% - 强调文字颜色 4 2 2 9" xfId="8655"/>
    <cellStyle name="60% - 强调文字颜色 4 2 3" xfId="823"/>
    <cellStyle name="60% - 强调文字颜色 4 2 3 2" xfId="824"/>
    <cellStyle name="60% - 强调文字颜色 4 2 3 2 2" xfId="825"/>
    <cellStyle name="60% - 强调文字颜色 4 2 3 2 2 2" xfId="826"/>
    <cellStyle name="60% - 强调文字颜色 4 2 3 2 2 2 2" xfId="4979"/>
    <cellStyle name="60% - 强调文字颜色 4 2 3 2 2 3" xfId="4225"/>
    <cellStyle name="60% - 强调文字颜色 4 2 3 2 2 4" xfId="4978"/>
    <cellStyle name="60% - 强调文字颜色 4 2 3 2 3" xfId="827"/>
    <cellStyle name="60% - 强调文字颜色 4 2 3 2 3 2" xfId="9739"/>
    <cellStyle name="60% - 强调文字颜色 4 2 3 2 4" xfId="828"/>
    <cellStyle name="60% - 强调文字颜色 4 2 3 2 4 2" xfId="9446"/>
    <cellStyle name="60% - 强调文字颜色 4 2 3 2 5" xfId="4224"/>
    <cellStyle name="60% - 强调文字颜色 4 2 3 2 5 2" xfId="5898"/>
    <cellStyle name="60% - 强调文字颜色 4 2 3 2 6" xfId="8649"/>
    <cellStyle name="60% - 强调文字颜色 4 2 3 3" xfId="829"/>
    <cellStyle name="60% - 强调文字颜色 4 2 3 3 2" xfId="830"/>
    <cellStyle name="60% - 强调文字颜色 4 2 3 3 2 2" xfId="4981"/>
    <cellStyle name="60% - 强调文字颜色 4 2 3 3 3" xfId="4226"/>
    <cellStyle name="60% - 强调文字颜色 4 2 3 3 4" xfId="4980"/>
    <cellStyle name="60% - 强调文字颜色 4 2 3 4" xfId="831"/>
    <cellStyle name="60% - 强调文字颜色 4 2 3 4 2" xfId="4982"/>
    <cellStyle name="60% - 强调文字颜色 4 2 3 5" xfId="832"/>
    <cellStyle name="60% - 强调文字颜色 4 2 3 5 2" xfId="9738"/>
    <cellStyle name="60% - 强调文字颜色 4 2 3 6" xfId="833"/>
    <cellStyle name="60% - 强调文字颜色 4 2 3 6 2" xfId="9447"/>
    <cellStyle name="60% - 强调文字颜色 4 2 3 7" xfId="4223"/>
    <cellStyle name="60% - 强调文字颜色 4 2 3 7 2" xfId="5897"/>
    <cellStyle name="60% - 强调文字颜色 4 2 3 8" xfId="8650"/>
    <cellStyle name="60% - 强调文字颜色 4 2 4" xfId="834"/>
    <cellStyle name="60% - 强调文字颜色 4 2 4 2" xfId="835"/>
    <cellStyle name="60% - 强调文字颜色 4 2 4 2 2" xfId="4984"/>
    <cellStyle name="60% - 强调文字颜色 4 2 4 3" xfId="836"/>
    <cellStyle name="60% - 强调文字颜色 4 2 4 3 2" xfId="4985"/>
    <cellStyle name="60% - 强调文字颜色 4 2 4 4" xfId="4227"/>
    <cellStyle name="60% - 强调文字颜色 4 2 4 5" xfId="4983"/>
    <cellStyle name="60% - 强调文字颜色 4 2 5" xfId="837"/>
    <cellStyle name="60% - 强调文字颜色 4 2 5 2" xfId="4228"/>
    <cellStyle name="60% - 强调文字颜色 4 2 5 3" xfId="4986"/>
    <cellStyle name="60% - 强调文字颜色 4 2 6" xfId="838"/>
    <cellStyle name="60% - 强调文字颜色 4 2 6 2" xfId="8647"/>
    <cellStyle name="60% - 强调文字颜色 4 2 7" xfId="839"/>
    <cellStyle name="60% - 强调文字颜色 4 2 7 2" xfId="8646"/>
    <cellStyle name="60% - 强调文字颜色 4 2 8" xfId="840"/>
    <cellStyle name="60% - 强调文字颜色 4 2 8 2" xfId="9443"/>
    <cellStyle name="60% - 强调文字颜色 4 2 9" xfId="4218"/>
    <cellStyle name="60% - 强调文字颜色 4 2 9 2" xfId="5891"/>
    <cellStyle name="60% - 强调文字颜色 4 3" xfId="841"/>
    <cellStyle name="60% - 强调文字颜色 4 3 2" xfId="842"/>
    <cellStyle name="60% - 强调文字颜色 4 3 2 2" xfId="843"/>
    <cellStyle name="60% - 强调文字颜色 4 3 2 2 2" xfId="4987"/>
    <cellStyle name="60% - 强调文字颜色 4 3 2 3" xfId="4230"/>
    <cellStyle name="60% - 强调文字颜色 4 3 2 4" xfId="9444"/>
    <cellStyle name="60% - 强调文字颜色 4 3 3" xfId="844"/>
    <cellStyle name="60% - 强调文字颜色 4 3 3 2" xfId="4231"/>
    <cellStyle name="60% - 强调文字颜色 4 3 3 2 2" xfId="5899"/>
    <cellStyle name="60% - 强调文字颜色 4 3 4" xfId="845"/>
    <cellStyle name="60% - 强调文字颜色 4 3 4 2" xfId="4988"/>
    <cellStyle name="60% - 强调文字颜色 4 3 5" xfId="4229"/>
    <cellStyle name="60% - 强调文字颜色 4 4" xfId="846"/>
    <cellStyle name="60% - 强调文字颜色 4 4 2" xfId="4232"/>
    <cellStyle name="60% - 强调文字颜色 4 4 3" xfId="4989"/>
    <cellStyle name="60% - 强调文字颜色 5 2" xfId="847"/>
    <cellStyle name="60% - 强调文字颜色 5 2 2" xfId="848"/>
    <cellStyle name="60% - 强调文字颜色 5 2 2 2" xfId="849"/>
    <cellStyle name="60% - 强调文字颜色 5 2 2 2 2" xfId="850"/>
    <cellStyle name="60% - 强调文字颜色 5 2 2 2 2 2" xfId="851"/>
    <cellStyle name="60% - 强调文字颜色 5 2 2 2 2 2 2" xfId="4990"/>
    <cellStyle name="60% - 强调文字颜色 5 2 2 2 2 3" xfId="4236"/>
    <cellStyle name="60% - 强调文字颜色 5 2 2 2 2 3 2" xfId="5903"/>
    <cellStyle name="60% - 强调文字颜色 5 2 2 2 2 4" xfId="8643"/>
    <cellStyle name="60% - 强调文字颜色 5 2 2 2 3" xfId="852"/>
    <cellStyle name="60% - 强调文字颜色 5 2 2 2 3 2" xfId="9741"/>
    <cellStyle name="60% - 强调文字颜色 5 2 2 2 4" xfId="853"/>
    <cellStyle name="60% - 强调文字颜色 5 2 2 2 4 2" xfId="4991"/>
    <cellStyle name="60% - 强调文字颜色 5 2 2 2 5" xfId="854"/>
    <cellStyle name="60% - 强调文字颜色 5 2 2 2 5 2" xfId="9742"/>
    <cellStyle name="60% - 强调文字颜色 5 2 2 2 6" xfId="4235"/>
    <cellStyle name="60% - 强调文字颜色 5 2 2 2 6 2" xfId="5902"/>
    <cellStyle name="60% - 强调文字颜色 5 2 2 2 7" xfId="8644"/>
    <cellStyle name="60% - 强调文字颜色 5 2 2 3" xfId="855"/>
    <cellStyle name="60% - 强调文字颜色 5 2 2 3 2" xfId="856"/>
    <cellStyle name="60% - 强调文字颜色 5 2 2 3 2 2" xfId="9743"/>
    <cellStyle name="60% - 强调文字颜色 5 2 2 3 3" xfId="857"/>
    <cellStyle name="60% - 强调文字颜色 5 2 2 3 3 2" xfId="4992"/>
    <cellStyle name="60% - 强调文字颜色 5 2 2 3 4" xfId="858"/>
    <cellStyle name="60% - 强调文字颜色 5 2 2 3 4 2" xfId="4993"/>
    <cellStyle name="60% - 强调文字颜色 5 2 2 3 5" xfId="4237"/>
    <cellStyle name="60% - 强调文字颜色 5 2 2 3 5 2" xfId="5904"/>
    <cellStyle name="60% - 强调文字颜色 5 2 2 3 6" xfId="8642"/>
    <cellStyle name="60% - 强调文字颜色 5 2 2 4" xfId="859"/>
    <cellStyle name="60% - 强调文字颜色 5 2 2 4 2" xfId="5905"/>
    <cellStyle name="60% - 强调文字颜色 5 2 2 5" xfId="860"/>
    <cellStyle name="60% - 强调文字颜色 5 2 2 5 2" xfId="8641"/>
    <cellStyle name="60% - 强调文字颜色 5 2 2 6" xfId="861"/>
    <cellStyle name="60% - 强调文字颜色 5 2 2 6 2" xfId="9441"/>
    <cellStyle name="60% - 强调文字颜色 5 2 2 7" xfId="862"/>
    <cellStyle name="60% - 强调文字颜色 5 2 2 7 2" xfId="4994"/>
    <cellStyle name="60% - 强调文字颜色 5 2 2 8" xfId="4234"/>
    <cellStyle name="60% - 强调文字颜色 5 2 2 8 2" xfId="5901"/>
    <cellStyle name="60% - 强调文字颜色 5 2 2 9" xfId="8645"/>
    <cellStyle name="60% - 强调文字颜色 5 2 3" xfId="863"/>
    <cellStyle name="60% - 强调文字颜色 5 2 3 2" xfId="864"/>
    <cellStyle name="60% - 强调文字颜色 5 2 3 2 2" xfId="865"/>
    <cellStyle name="60% - 强调文字颜色 5 2 3 2 2 2" xfId="866"/>
    <cellStyle name="60% - 强调文字颜色 5 2 3 2 2 2 2" xfId="4995"/>
    <cellStyle name="60% - 强调文字颜色 5 2 3 2 2 3" xfId="4240"/>
    <cellStyle name="60% - 强调文字颜色 5 2 3 2 2 4" xfId="9744"/>
    <cellStyle name="60% - 强调文字颜色 5 2 3 2 3" xfId="867"/>
    <cellStyle name="60% - 强调文字颜色 5 2 3 2 3 2" xfId="4996"/>
    <cellStyle name="60% - 强调文字颜色 5 2 3 2 4" xfId="868"/>
    <cellStyle name="60% - 强调文字颜色 5 2 3 2 4 2" xfId="9746"/>
    <cellStyle name="60% - 强调文字颜色 5 2 3 2 5" xfId="4239"/>
    <cellStyle name="60% - 强调文字颜色 5 2 3 2 5 2" xfId="5907"/>
    <cellStyle name="60% - 强调文字颜色 5 2 3 2 6" xfId="8639"/>
    <cellStyle name="60% - 强调文字颜色 5 2 3 3" xfId="869"/>
    <cellStyle name="60% - 强调文字颜色 5 2 3 3 2" xfId="870"/>
    <cellStyle name="60% - 强调文字颜色 5 2 3 3 2 2" xfId="4997"/>
    <cellStyle name="60% - 强调文字颜色 5 2 3 3 3" xfId="4241"/>
    <cellStyle name="60% - 强调文字颜色 5 2 3 3 4" xfId="9442"/>
    <cellStyle name="60% - 强调文字颜色 5 2 3 4" xfId="871"/>
    <cellStyle name="60% - 强调文字颜色 5 2 3 4 2" xfId="4998"/>
    <cellStyle name="60% - 强调文字颜色 5 2 3 5" xfId="872"/>
    <cellStyle name="60% - 强调文字颜色 5 2 3 5 2" xfId="9745"/>
    <cellStyle name="60% - 强调文字颜色 5 2 3 6" xfId="873"/>
    <cellStyle name="60% - 强调文字颜色 5 2 3 6 2" xfId="4999"/>
    <cellStyle name="60% - 强调文字颜色 5 2 3 7" xfId="4238"/>
    <cellStyle name="60% - 强调文字颜色 5 2 3 7 2" xfId="5906"/>
    <cellStyle name="60% - 强调文字颜色 5 2 3 8" xfId="8640"/>
    <cellStyle name="60% - 强调文字颜色 5 2 4" xfId="874"/>
    <cellStyle name="60% - 强调文字颜色 5 2 4 2" xfId="875"/>
    <cellStyle name="60% - 强调文字颜色 5 2 4 2 2" xfId="5001"/>
    <cellStyle name="60% - 强调文字颜色 5 2 4 3" xfId="876"/>
    <cellStyle name="60% - 强调文字颜色 5 2 4 3 2" xfId="5002"/>
    <cellStyle name="60% - 强调文字颜色 5 2 4 4" xfId="4242"/>
    <cellStyle name="60% - 强调文字颜色 5 2 4 5" xfId="5000"/>
    <cellStyle name="60% - 强调文字颜色 5 2 5" xfId="877"/>
    <cellStyle name="60% - 强调文字颜色 5 2 5 2" xfId="4243"/>
    <cellStyle name="60% - 强调文字颜色 5 2 5 3" xfId="9750"/>
    <cellStyle name="60% - 强调文字颜色 5 2 6" xfId="878"/>
    <cellStyle name="60% - 强调文字颜色 5 2 6 2" xfId="8635"/>
    <cellStyle name="60% - 强调文字颜色 5 2 7" xfId="879"/>
    <cellStyle name="60% - 强调文字颜色 5 2 7 2" xfId="8634"/>
    <cellStyle name="60% - 强调文字颜色 5 2 8" xfId="880"/>
    <cellStyle name="60% - 强调文字颜色 5 2 8 2" xfId="5003"/>
    <cellStyle name="60% - 强调文字颜色 5 2 9" xfId="4233"/>
    <cellStyle name="60% - 强调文字颜色 5 2 9 2" xfId="5900"/>
    <cellStyle name="60% - 强调文字颜色 5 3" xfId="881"/>
    <cellStyle name="60% - 强调文字颜色 5 3 2" xfId="882"/>
    <cellStyle name="60% - 强调文字颜色 5 3 2 2" xfId="883"/>
    <cellStyle name="60% - 强调文字颜色 5 3 2 2 2" xfId="9440"/>
    <cellStyle name="60% - 强调文字颜色 5 3 2 3" xfId="4245"/>
    <cellStyle name="60% - 强调文字颜色 5 3 2 4" xfId="5004"/>
    <cellStyle name="60% - 强调文字颜色 5 3 3" xfId="884"/>
    <cellStyle name="60% - 强调文字颜色 5 3 3 2" xfId="4246"/>
    <cellStyle name="60% - 强调文字颜色 5 3 3 2 2" xfId="5908"/>
    <cellStyle name="60% - 强调文字颜色 5 3 4" xfId="885"/>
    <cellStyle name="60% - 强调文字颜色 5 3 4 2" xfId="9747"/>
    <cellStyle name="60% - 强调文字颜色 5 3 5" xfId="4244"/>
    <cellStyle name="60% - 强调文字颜色 5 4" xfId="886"/>
    <cellStyle name="60% - 强调文字颜色 5 4 2" xfId="4247"/>
    <cellStyle name="60% - 强调文字颜色 5 4 3" xfId="9439"/>
    <cellStyle name="60% - 强调文字颜色 6 2" xfId="887"/>
    <cellStyle name="60% - 强调文字颜色 6 2 2" xfId="888"/>
    <cellStyle name="60% - 强调文字颜色 6 2 2 2" xfId="889"/>
    <cellStyle name="60% - 强调文字颜色 6 2 2 2 2" xfId="890"/>
    <cellStyle name="60% - 强调文字颜色 6 2 2 2 2 2" xfId="891"/>
    <cellStyle name="60% - 强调文字颜色 6 2 2 2 2 2 2" xfId="9749"/>
    <cellStyle name="60% - 强调文字颜色 6 2 2 2 2 3" xfId="4251"/>
    <cellStyle name="60% - 强调文字颜色 6 2 2 2 2 3 2" xfId="5912"/>
    <cellStyle name="60% - 强调文字颜色 6 2 2 2 2 4" xfId="8631"/>
    <cellStyle name="60% - 强调文字颜色 6 2 2 2 3" xfId="892"/>
    <cellStyle name="60% - 强调文字颜色 6 2 2 2 3 2" xfId="9437"/>
    <cellStyle name="60% - 强调文字颜色 6 2 2 2 4" xfId="893"/>
    <cellStyle name="60% - 强调文字颜色 6 2 2 2 4 2" xfId="5005"/>
    <cellStyle name="60% - 强调文字颜色 6 2 2 2 5" xfId="894"/>
    <cellStyle name="60% - 强调文字颜色 6 2 2 2 5 2" xfId="5006"/>
    <cellStyle name="60% - 强调文字颜色 6 2 2 2 6" xfId="4250"/>
    <cellStyle name="60% - 强调文字颜色 6 2 2 2 6 2" xfId="5911"/>
    <cellStyle name="60% - 强调文字颜色 6 2 2 2 7" xfId="8632"/>
    <cellStyle name="60% - 强调文字颜色 6 2 2 3" xfId="895"/>
    <cellStyle name="60% - 强调文字颜色 6 2 2 3 2" xfId="896"/>
    <cellStyle name="60% - 强调文字颜色 6 2 2 3 2 2" xfId="9748"/>
    <cellStyle name="60% - 强调文字颜色 6 2 2 3 3" xfId="897"/>
    <cellStyle name="60% - 强调文字颜色 6 2 2 3 3 2" xfId="9438"/>
    <cellStyle name="60% - 强调文字颜色 6 2 2 3 4" xfId="898"/>
    <cellStyle name="60% - 强调文字颜色 6 2 2 3 4 2" xfId="5007"/>
    <cellStyle name="60% - 强调文字颜色 6 2 2 3 5" xfId="4252"/>
    <cellStyle name="60% - 强调文字颜色 6 2 2 3 5 2" xfId="5913"/>
    <cellStyle name="60% - 强调文字颜色 6 2 2 3 6" xfId="8630"/>
    <cellStyle name="60% - 强调文字颜色 6 2 2 4" xfId="899"/>
    <cellStyle name="60% - 强调文字颜色 6 2 2 4 2" xfId="5914"/>
    <cellStyle name="60% - 强调文字颜色 6 2 2 5" xfId="900"/>
    <cellStyle name="60% - 强调文字颜色 6 2 2 5 2" xfId="8629"/>
    <cellStyle name="60% - 强调文字颜色 6 2 2 6" xfId="901"/>
    <cellStyle name="60% - 强调文字颜色 6 2 2 6 2" xfId="5008"/>
    <cellStyle name="60% - 强调文字颜色 6 2 2 7" xfId="902"/>
    <cellStyle name="60% - 强调文字颜色 6 2 2 7 2" xfId="5009"/>
    <cellStyle name="60% - 强调文字颜色 6 2 2 8" xfId="4249"/>
    <cellStyle name="60% - 强调文字颜色 6 2 2 8 2" xfId="5910"/>
    <cellStyle name="60% - 强调文字颜色 6 2 2 9" xfId="8633"/>
    <cellStyle name="60% - 强调文字颜色 6 2 3" xfId="903"/>
    <cellStyle name="60% - 强调文字颜色 6 2 3 2" xfId="904"/>
    <cellStyle name="60% - 强调文字颜色 6 2 3 2 2" xfId="905"/>
    <cellStyle name="60% - 强调文字颜色 6 2 3 2 2 2" xfId="906"/>
    <cellStyle name="60% - 强调文字颜色 6 2 3 2 2 2 2" xfId="9436"/>
    <cellStyle name="60% - 强调文字颜色 6 2 3 2 2 3" xfId="4255"/>
    <cellStyle name="60% - 强调文字颜色 6 2 3 2 2 4" xfId="5010"/>
    <cellStyle name="60% - 强调文字颜色 6 2 3 2 3" xfId="907"/>
    <cellStyle name="60% - 强调文字颜色 6 2 3 2 3 2" xfId="5011"/>
    <cellStyle name="60% - 强调文字颜色 6 2 3 2 4" xfId="908"/>
    <cellStyle name="60% - 强调文字颜色 6 2 3 2 4 2" xfId="9435"/>
    <cellStyle name="60% - 强调文字颜色 6 2 3 2 5" xfId="4254"/>
    <cellStyle name="60% - 强调文字颜色 6 2 3 2 5 2" xfId="5916"/>
    <cellStyle name="60% - 强调文字颜色 6 2 3 2 6" xfId="8627"/>
    <cellStyle name="60% - 强调文字颜色 6 2 3 3" xfId="909"/>
    <cellStyle name="60% - 强调文字颜色 6 2 3 3 2" xfId="910"/>
    <cellStyle name="60% - 强调文字颜色 6 2 3 3 2 2" xfId="5013"/>
    <cellStyle name="60% - 强调文字颜色 6 2 3 3 3" xfId="4256"/>
    <cellStyle name="60% - 强调文字颜色 6 2 3 3 4" xfId="5012"/>
    <cellStyle name="60% - 强调文字颜色 6 2 3 4" xfId="911"/>
    <cellStyle name="60% - 强调文字颜色 6 2 3 4 2" xfId="5014"/>
    <cellStyle name="60% - 强调文字颜色 6 2 3 5" xfId="912"/>
    <cellStyle name="60% - 强调文字颜色 6 2 3 5 2" xfId="9433"/>
    <cellStyle name="60% - 强调文字颜色 6 2 3 6" xfId="913"/>
    <cellStyle name="60% - 强调文字颜色 6 2 3 6 2" xfId="5015"/>
    <cellStyle name="60% - 强调文字颜色 6 2 3 7" xfId="4253"/>
    <cellStyle name="60% - 强调文字颜色 6 2 3 7 2" xfId="5915"/>
    <cellStyle name="60% - 强调文字颜色 6 2 3 8" xfId="8628"/>
    <cellStyle name="60% - 强调文字颜色 6 2 4" xfId="914"/>
    <cellStyle name="60% - 强调文字颜色 6 2 4 2" xfId="915"/>
    <cellStyle name="60% - 强调文字颜色 6 2 4 2 2" xfId="5016"/>
    <cellStyle name="60% - 强调文字颜色 6 2 4 3" xfId="916"/>
    <cellStyle name="60% - 强调文字颜色 6 2 4 3 2" xfId="9752"/>
    <cellStyle name="60% - 强调文字颜色 6 2 4 4" xfId="4257"/>
    <cellStyle name="60% - 强调文字颜色 6 2 4 5" xfId="9751"/>
    <cellStyle name="60% - 强调文字颜色 6 2 5" xfId="917"/>
    <cellStyle name="60% - 强调文字颜色 6 2 5 2" xfId="4258"/>
    <cellStyle name="60% - 强调文字颜色 6 2 5 3" xfId="5017"/>
    <cellStyle name="60% - 强调文字颜色 6 2 6" xfId="918"/>
    <cellStyle name="60% - 强调文字颜色 6 2 6 2" xfId="8625"/>
    <cellStyle name="60% - 强调文字颜色 6 2 7" xfId="919"/>
    <cellStyle name="60% - 强调文字颜色 6 2 7 2" xfId="8624"/>
    <cellStyle name="60% - 强调文字颜色 6 2 8" xfId="920"/>
    <cellStyle name="60% - 强调文字颜色 6 2 8 2" xfId="9753"/>
    <cellStyle name="60% - 强调文字颜色 6 2 9" xfId="4248"/>
    <cellStyle name="60% - 强调文字颜色 6 2 9 2" xfId="5909"/>
    <cellStyle name="60% - 强调文字颜色 6 3" xfId="921"/>
    <cellStyle name="60% - 强调文字颜色 6 3 2" xfId="922"/>
    <cellStyle name="60% - 强调文字颜色 6 3 2 2" xfId="923"/>
    <cellStyle name="60% - 强调文字颜色 6 3 2 2 2" xfId="5019"/>
    <cellStyle name="60% - 强调文字颜色 6 3 2 3" xfId="4260"/>
    <cellStyle name="60% - 强调文字颜色 6 3 2 4" xfId="5018"/>
    <cellStyle name="60% - 强调文字颜色 6 3 3" xfId="924"/>
    <cellStyle name="60% - 强调文字颜色 6 3 3 2" xfId="4261"/>
    <cellStyle name="60% - 强调文字颜色 6 3 3 2 2" xfId="5918"/>
    <cellStyle name="60% - 强调文字颜色 6 3 4" xfId="925"/>
    <cellStyle name="60% - 强调文字颜色 6 3 4 2" xfId="9434"/>
    <cellStyle name="60% - 强调文字颜色 6 3 5" xfId="4259"/>
    <cellStyle name="60% - 强调文字颜色 6 4" xfId="926"/>
    <cellStyle name="60% - 强调文字颜色 6 4 2" xfId="4262"/>
    <cellStyle name="60% - 强调文字颜色 6 4 3" xfId="5020"/>
    <cellStyle name="no dec" xfId="927"/>
    <cellStyle name="Normal_APR" xfId="928"/>
    <cellStyle name="百分比 2" xfId="929"/>
    <cellStyle name="百分比 2 2" xfId="8020"/>
    <cellStyle name="标题 1 2" xfId="930"/>
    <cellStyle name="标题 1 2 10" xfId="931"/>
    <cellStyle name="标题 1 2 10 2" xfId="932"/>
    <cellStyle name="标题 1 2 10 2 2" xfId="933"/>
    <cellStyle name="标题 1 2 10 2 2 2" xfId="5928"/>
    <cellStyle name="标题 1 2 10 2 2 3" xfId="5927"/>
    <cellStyle name="标题 1 2 10 2 3" xfId="934"/>
    <cellStyle name="标题 1 2 10 2 3 2" xfId="5929"/>
    <cellStyle name="标题 1 2 10 2 4" xfId="935"/>
    <cellStyle name="标题 1 2 10 2 4 2" xfId="5930"/>
    <cellStyle name="标题 1 2 10 2 5" xfId="936"/>
    <cellStyle name="标题 1 2 10 2 5 2" xfId="9754"/>
    <cellStyle name="标题 1 2 10 2 6" xfId="5926"/>
    <cellStyle name="标题 1 2 10 3" xfId="937"/>
    <cellStyle name="标题 1 2 10 3 2" xfId="5932"/>
    <cellStyle name="标题 1 2 10 3 3" xfId="5931"/>
    <cellStyle name="标题 1 2 10 4" xfId="938"/>
    <cellStyle name="标题 1 2 10 4 2" xfId="8623"/>
    <cellStyle name="标题 1 2 10 5" xfId="939"/>
    <cellStyle name="标题 1 2 10 5 2" xfId="5021"/>
    <cellStyle name="标题 1 2 10 6" xfId="5925"/>
    <cellStyle name="标题 1 2 11" xfId="940"/>
    <cellStyle name="标题 1 2 11 2" xfId="941"/>
    <cellStyle name="标题 1 2 11 2 2" xfId="942"/>
    <cellStyle name="标题 1 2 11 2 2 2" xfId="5936"/>
    <cellStyle name="标题 1 2 11 2 2 3" xfId="5935"/>
    <cellStyle name="标题 1 2 11 2 3" xfId="943"/>
    <cellStyle name="标题 1 2 11 2 3 2" xfId="5937"/>
    <cellStyle name="标题 1 2 11 2 4" xfId="944"/>
    <cellStyle name="标题 1 2 11 2 4 2" xfId="5938"/>
    <cellStyle name="标题 1 2 11 2 5" xfId="945"/>
    <cellStyle name="标题 1 2 11 2 5 2" xfId="9755"/>
    <cellStyle name="标题 1 2 11 2 6" xfId="5934"/>
    <cellStyle name="标题 1 2 11 3" xfId="946"/>
    <cellStyle name="标题 1 2 11 3 2" xfId="5940"/>
    <cellStyle name="标题 1 2 11 3 3" xfId="5939"/>
    <cellStyle name="标题 1 2 11 4" xfId="947"/>
    <cellStyle name="标题 1 2 11 4 2" xfId="8622"/>
    <cellStyle name="标题 1 2 11 5" xfId="948"/>
    <cellStyle name="标题 1 2 11 5 2" xfId="5022"/>
    <cellStyle name="标题 1 2 11 6" xfId="5933"/>
    <cellStyle name="标题 1 2 12" xfId="949"/>
    <cellStyle name="标题 1 2 12 2" xfId="950"/>
    <cellStyle name="标题 1 2 12 2 2" xfId="951"/>
    <cellStyle name="标题 1 2 12 2 2 2" xfId="5944"/>
    <cellStyle name="标题 1 2 12 2 2 3" xfId="5943"/>
    <cellStyle name="标题 1 2 12 2 3" xfId="952"/>
    <cellStyle name="标题 1 2 12 2 3 2" xfId="5945"/>
    <cellStyle name="标题 1 2 12 2 4" xfId="953"/>
    <cellStyle name="标题 1 2 12 2 4 2" xfId="5946"/>
    <cellStyle name="标题 1 2 12 2 5" xfId="954"/>
    <cellStyle name="标题 1 2 12 2 5 2" xfId="5023"/>
    <cellStyle name="标题 1 2 12 2 6" xfId="5942"/>
    <cellStyle name="标题 1 2 12 3" xfId="955"/>
    <cellStyle name="标题 1 2 12 3 2" xfId="5948"/>
    <cellStyle name="标题 1 2 12 3 3" xfId="5947"/>
    <cellStyle name="标题 1 2 12 4" xfId="956"/>
    <cellStyle name="标题 1 2 12 4 2" xfId="8621"/>
    <cellStyle name="标题 1 2 12 5" xfId="957"/>
    <cellStyle name="标题 1 2 12 5 2" xfId="5024"/>
    <cellStyle name="标题 1 2 12 6" xfId="5941"/>
    <cellStyle name="标题 1 2 13" xfId="958"/>
    <cellStyle name="标题 1 2 13 2" xfId="959"/>
    <cellStyle name="标题 1 2 13 2 2" xfId="5951"/>
    <cellStyle name="标题 1 2 13 2 3" xfId="5950"/>
    <cellStyle name="标题 1 2 13 3" xfId="960"/>
    <cellStyle name="标题 1 2 13 3 2" xfId="5952"/>
    <cellStyle name="标题 1 2 13 4" xfId="961"/>
    <cellStyle name="标题 1 2 13 4 2" xfId="5953"/>
    <cellStyle name="标题 1 2 13 5" xfId="962"/>
    <cellStyle name="标题 1 2 13 5 2" xfId="5025"/>
    <cellStyle name="标题 1 2 13 6" xfId="5949"/>
    <cellStyle name="标题 1 2 14" xfId="963"/>
    <cellStyle name="标题 1 2 14 2" xfId="964"/>
    <cellStyle name="标题 1 2 14 2 2" xfId="5955"/>
    <cellStyle name="标题 1 2 14 3" xfId="5954"/>
    <cellStyle name="标题 1 2 15" xfId="965"/>
    <cellStyle name="标题 1 2 15 2" xfId="8615"/>
    <cellStyle name="标题 1 2 16" xfId="966"/>
    <cellStyle name="标题 1 2 16 2" xfId="5026"/>
    <cellStyle name="标题 1 2 17" xfId="4263"/>
    <cellStyle name="标题 1 2 2" xfId="967"/>
    <cellStyle name="标题 1 2 2 2" xfId="968"/>
    <cellStyle name="标题 1 2 2 2 2" xfId="969"/>
    <cellStyle name="标题 1 2 2 2 2 2" xfId="970"/>
    <cellStyle name="标题 1 2 2 2 2 2 2" xfId="5959"/>
    <cellStyle name="标题 1 2 2 2 2 3" xfId="971"/>
    <cellStyle name="标题 1 2 2 2 2 3 2" xfId="5027"/>
    <cellStyle name="标题 1 2 2 2 2 4" xfId="972"/>
    <cellStyle name="标题 1 2 2 2 2 4 2" xfId="5028"/>
    <cellStyle name="标题 1 2 2 2 2 5" xfId="4266"/>
    <cellStyle name="标题 1 2 2 2 3" xfId="973"/>
    <cellStyle name="标题 1 2 2 2 3 2" xfId="5960"/>
    <cellStyle name="标题 1 2 2 2 4" xfId="974"/>
    <cellStyle name="标题 1 2 2 2 4 2" xfId="5961"/>
    <cellStyle name="标题 1 2 2 2 5" xfId="975"/>
    <cellStyle name="标题 1 2 2 2 5 2" xfId="5029"/>
    <cellStyle name="标题 1 2 2 2 6" xfId="4265"/>
    <cellStyle name="标题 1 2 2 3" xfId="976"/>
    <cellStyle name="标题 1 2 2 3 2" xfId="977"/>
    <cellStyle name="标题 1 2 2 3 2 2" xfId="5963"/>
    <cellStyle name="标题 1 2 2 3 3" xfId="978"/>
    <cellStyle name="标题 1 2 2 3 3 2" xfId="5030"/>
    <cellStyle name="标题 1 2 2 3 4" xfId="979"/>
    <cellStyle name="标题 1 2 2 3 4 2" xfId="9756"/>
    <cellStyle name="标题 1 2 2 3 5" xfId="4267"/>
    <cellStyle name="标题 1 2 2 4" xfId="980"/>
    <cellStyle name="标题 1 2 2 4 2" xfId="8607"/>
    <cellStyle name="标题 1 2 2 5" xfId="981"/>
    <cellStyle name="标题 1 2 2 5 2" xfId="8605"/>
    <cellStyle name="标题 1 2 2 6" xfId="4264"/>
    <cellStyle name="标题 1 2 3" xfId="982"/>
    <cellStyle name="标题 1 2 3 2" xfId="983"/>
    <cellStyle name="标题 1 2 3 2 2" xfId="984"/>
    <cellStyle name="标题 1 2 3 2 2 2" xfId="985"/>
    <cellStyle name="标题 1 2 3 2 2 2 2" xfId="5967"/>
    <cellStyle name="标题 1 2 3 2 2 3" xfId="986"/>
    <cellStyle name="标题 1 2 3 2 2 3 2" xfId="9757"/>
    <cellStyle name="标题 1 2 3 2 2 4" xfId="987"/>
    <cellStyle name="标题 1 2 3 2 2 4 2" xfId="5031"/>
    <cellStyle name="标题 1 2 3 2 2 5" xfId="4270"/>
    <cellStyle name="标题 1 2 3 2 3" xfId="988"/>
    <cellStyle name="标题 1 2 3 2 3 2" xfId="5968"/>
    <cellStyle name="标题 1 2 3 2 4" xfId="989"/>
    <cellStyle name="标题 1 2 3 2 4 2" xfId="5969"/>
    <cellStyle name="标题 1 2 3 2 5" xfId="990"/>
    <cellStyle name="标题 1 2 3 2 5 2" xfId="9432"/>
    <cellStyle name="标题 1 2 3 2 6" xfId="4269"/>
    <cellStyle name="标题 1 2 3 3" xfId="991"/>
    <cellStyle name="标题 1 2 3 3 2" xfId="992"/>
    <cellStyle name="标题 1 2 3 3 2 2" xfId="5970"/>
    <cellStyle name="标题 1 2 3 3 3" xfId="993"/>
    <cellStyle name="标题 1 2 3 3 3 2" xfId="9944"/>
    <cellStyle name="标题 1 2 3 3 4" xfId="994"/>
    <cellStyle name="标题 1 2 3 3 4 2" xfId="5032"/>
    <cellStyle name="标题 1 2 3 3 5" xfId="4271"/>
    <cellStyle name="标题 1 2 3 4" xfId="995"/>
    <cellStyle name="标题 1 2 3 4 2" xfId="8601"/>
    <cellStyle name="标题 1 2 3 5" xfId="996"/>
    <cellStyle name="标题 1 2 3 5 2" xfId="8600"/>
    <cellStyle name="标题 1 2 3 6" xfId="4268"/>
    <cellStyle name="标题 1 2 4" xfId="997"/>
    <cellStyle name="标题 1 2 4 2" xfId="998"/>
    <cellStyle name="标题 1 2 4 2 2" xfId="999"/>
    <cellStyle name="标题 1 2 4 2 2 2" xfId="5974"/>
    <cellStyle name="标题 1 2 4 2 2 3" xfId="5973"/>
    <cellStyle name="标题 1 2 4 2 3" xfId="1000"/>
    <cellStyle name="标题 1 2 4 2 3 2" xfId="5975"/>
    <cellStyle name="标题 1 2 4 2 4" xfId="1001"/>
    <cellStyle name="标题 1 2 4 2 4 2" xfId="5976"/>
    <cellStyle name="标题 1 2 4 2 5" xfId="1002"/>
    <cellStyle name="标题 1 2 4 2 5 2" xfId="9431"/>
    <cellStyle name="标题 1 2 4 2 6" xfId="5972"/>
    <cellStyle name="标题 1 2 4 3" xfId="1003"/>
    <cellStyle name="标题 1 2 4 3 2" xfId="5978"/>
    <cellStyle name="标题 1 2 4 3 3" xfId="5977"/>
    <cellStyle name="标题 1 2 4 4" xfId="1004"/>
    <cellStyle name="标题 1 2 4 4 2" xfId="8599"/>
    <cellStyle name="标题 1 2 4 5" xfId="1005"/>
    <cellStyle name="标题 1 2 4 5 2" xfId="9943"/>
    <cellStyle name="标题 1 2 4 6" xfId="4272"/>
    <cellStyle name="标题 1 2 5" xfId="1006"/>
    <cellStyle name="标题 1 2 5 2" xfId="1007"/>
    <cellStyle name="标题 1 2 5 2 2" xfId="1008"/>
    <cellStyle name="标题 1 2 5 2 2 2" xfId="5982"/>
    <cellStyle name="标题 1 2 5 2 2 3" xfId="5981"/>
    <cellStyle name="标题 1 2 5 2 3" xfId="1009"/>
    <cellStyle name="标题 1 2 5 2 3 2" xfId="5983"/>
    <cellStyle name="标题 1 2 5 2 4" xfId="1010"/>
    <cellStyle name="标题 1 2 5 2 4 2" xfId="5984"/>
    <cellStyle name="标题 1 2 5 2 5" xfId="1011"/>
    <cellStyle name="标题 1 2 5 2 5 2" xfId="9758"/>
    <cellStyle name="标题 1 2 5 2 6" xfId="5980"/>
    <cellStyle name="标题 1 2 5 3" xfId="1012"/>
    <cellStyle name="标题 1 2 5 3 2" xfId="5986"/>
    <cellStyle name="标题 1 2 5 3 3" xfId="5985"/>
    <cellStyle name="标题 1 2 5 4" xfId="1013"/>
    <cellStyle name="标题 1 2 5 4 2" xfId="8598"/>
    <cellStyle name="标题 1 2 5 5" xfId="1014"/>
    <cellStyle name="标题 1 2 5 5 2" xfId="5033"/>
    <cellStyle name="标题 1 2 5 6" xfId="4273"/>
    <cellStyle name="标题 1 2 6" xfId="1015"/>
    <cellStyle name="标题 1 2 6 2" xfId="1016"/>
    <cellStyle name="标题 1 2 6 2 2" xfId="1017"/>
    <cellStyle name="标题 1 2 6 2 2 2" xfId="5990"/>
    <cellStyle name="标题 1 2 6 2 2 3" xfId="5989"/>
    <cellStyle name="标题 1 2 6 2 3" xfId="1018"/>
    <cellStyle name="标题 1 2 6 2 3 2" xfId="5991"/>
    <cellStyle name="标题 1 2 6 2 4" xfId="1019"/>
    <cellStyle name="标题 1 2 6 2 4 2" xfId="5992"/>
    <cellStyle name="标题 1 2 6 2 5" xfId="1020"/>
    <cellStyle name="标题 1 2 6 2 5 2" xfId="5034"/>
    <cellStyle name="标题 1 2 6 2 6" xfId="5988"/>
    <cellStyle name="标题 1 2 6 3" xfId="1021"/>
    <cellStyle name="标题 1 2 6 3 2" xfId="5994"/>
    <cellStyle name="标题 1 2 6 3 3" xfId="5993"/>
    <cellStyle name="标题 1 2 6 4" xfId="1022"/>
    <cellStyle name="标题 1 2 6 4 2" xfId="8597"/>
    <cellStyle name="标题 1 2 6 5" xfId="1023"/>
    <cellStyle name="标题 1 2 6 5 2" xfId="9942"/>
    <cellStyle name="标题 1 2 6 6" xfId="5987"/>
    <cellStyle name="标题 1 2 7" xfId="1024"/>
    <cellStyle name="标题 1 2 7 2" xfId="1025"/>
    <cellStyle name="标题 1 2 7 2 2" xfId="1026"/>
    <cellStyle name="标题 1 2 7 2 2 2" xfId="5998"/>
    <cellStyle name="标题 1 2 7 2 2 3" xfId="5997"/>
    <cellStyle name="标题 1 2 7 2 3" xfId="1027"/>
    <cellStyle name="标题 1 2 7 2 3 2" xfId="5999"/>
    <cellStyle name="标题 1 2 7 2 4" xfId="1028"/>
    <cellStyle name="标题 1 2 7 2 4 2" xfId="6000"/>
    <cellStyle name="标题 1 2 7 2 5" xfId="1029"/>
    <cellStyle name="标题 1 2 7 2 5 2" xfId="5035"/>
    <cellStyle name="标题 1 2 7 2 6" xfId="5996"/>
    <cellStyle name="标题 1 2 7 3" xfId="1030"/>
    <cellStyle name="标题 1 2 7 3 2" xfId="6002"/>
    <cellStyle name="标题 1 2 7 3 3" xfId="6001"/>
    <cellStyle name="标题 1 2 7 4" xfId="1031"/>
    <cellStyle name="标题 1 2 7 4 2" xfId="8596"/>
    <cellStyle name="标题 1 2 7 5" xfId="1032"/>
    <cellStyle name="标题 1 2 7 5 2" xfId="5036"/>
    <cellStyle name="标题 1 2 7 6" xfId="5995"/>
    <cellStyle name="标题 1 2 8" xfId="1033"/>
    <cellStyle name="标题 1 2 8 2" xfId="1034"/>
    <cellStyle name="标题 1 2 8 2 2" xfId="1035"/>
    <cellStyle name="标题 1 2 8 2 2 2" xfId="6006"/>
    <cellStyle name="标题 1 2 8 2 2 3" xfId="6005"/>
    <cellStyle name="标题 1 2 8 2 3" xfId="1036"/>
    <cellStyle name="标题 1 2 8 2 3 2" xfId="6007"/>
    <cellStyle name="标题 1 2 8 2 4" xfId="1037"/>
    <cellStyle name="标题 1 2 8 2 4 2" xfId="6008"/>
    <cellStyle name="标题 1 2 8 2 5" xfId="1038"/>
    <cellStyle name="标题 1 2 8 2 5 2" xfId="5037"/>
    <cellStyle name="标题 1 2 8 2 6" xfId="6004"/>
    <cellStyle name="标题 1 2 8 3" xfId="1039"/>
    <cellStyle name="标题 1 2 8 3 2" xfId="6010"/>
    <cellStyle name="标题 1 2 8 3 3" xfId="6009"/>
    <cellStyle name="标题 1 2 8 4" xfId="1040"/>
    <cellStyle name="标题 1 2 8 4 2" xfId="8595"/>
    <cellStyle name="标题 1 2 8 5" xfId="1041"/>
    <cellStyle name="标题 1 2 8 5 2" xfId="5038"/>
    <cellStyle name="标题 1 2 8 6" xfId="6003"/>
    <cellStyle name="标题 1 2 9" xfId="1042"/>
    <cellStyle name="标题 1 2 9 2" xfId="1043"/>
    <cellStyle name="标题 1 2 9 2 2" xfId="1044"/>
    <cellStyle name="标题 1 2 9 2 2 2" xfId="6014"/>
    <cellStyle name="标题 1 2 9 2 2 3" xfId="6013"/>
    <cellStyle name="标题 1 2 9 2 3" xfId="1045"/>
    <cellStyle name="标题 1 2 9 2 3 2" xfId="6015"/>
    <cellStyle name="标题 1 2 9 2 4" xfId="1046"/>
    <cellStyle name="标题 1 2 9 2 4 2" xfId="6016"/>
    <cellStyle name="标题 1 2 9 2 5" xfId="1047"/>
    <cellStyle name="标题 1 2 9 2 5 2" xfId="9759"/>
    <cellStyle name="标题 1 2 9 2 6" xfId="6012"/>
    <cellStyle name="标题 1 2 9 3" xfId="1048"/>
    <cellStyle name="标题 1 2 9 3 2" xfId="6018"/>
    <cellStyle name="标题 1 2 9 3 3" xfId="6017"/>
    <cellStyle name="标题 1 2 9 4" xfId="1049"/>
    <cellStyle name="标题 1 2 9 4 2" xfId="8594"/>
    <cellStyle name="标题 1 2 9 5" xfId="1050"/>
    <cellStyle name="标题 1 2 9 5 2" xfId="5039"/>
    <cellStyle name="标题 1 2 9 6" xfId="6011"/>
    <cellStyle name="标题 1 3" xfId="1051"/>
    <cellStyle name="标题 1 3 2" xfId="1052"/>
    <cellStyle name="标题 1 3 2 2" xfId="1053"/>
    <cellStyle name="标题 1 3 2 2 2" xfId="9761"/>
    <cellStyle name="标题 1 3 2 3" xfId="4275"/>
    <cellStyle name="标题 1 3 3" xfId="1054"/>
    <cellStyle name="标题 1 3 3 2" xfId="4276"/>
    <cellStyle name="标题 1 3 4" xfId="1055"/>
    <cellStyle name="标题 1 3 4 2" xfId="5040"/>
    <cellStyle name="标题 1 3 5" xfId="4274"/>
    <cellStyle name="标题 1 4" xfId="1056"/>
    <cellStyle name="标题 1 4 2" xfId="4277"/>
    <cellStyle name="标题 1 5" xfId="5923"/>
    <cellStyle name="标题 2 2" xfId="1057"/>
    <cellStyle name="标题 2 2 10" xfId="1058"/>
    <cellStyle name="标题 2 2 10 2" xfId="1059"/>
    <cellStyle name="标题 2 2 10 2 2" xfId="1060"/>
    <cellStyle name="标题 2 2 10 2 2 2" xfId="6023"/>
    <cellStyle name="标题 2 2 10 2 2 3" xfId="6022"/>
    <cellStyle name="标题 2 2 10 2 3" xfId="1061"/>
    <cellStyle name="标题 2 2 10 2 3 2" xfId="6024"/>
    <cellStyle name="标题 2 2 10 2 4" xfId="1062"/>
    <cellStyle name="标题 2 2 10 2 4 2" xfId="6025"/>
    <cellStyle name="标题 2 2 10 2 5" xfId="1063"/>
    <cellStyle name="标题 2 2 10 2 5 2" xfId="9941"/>
    <cellStyle name="标题 2 2 10 2 6" xfId="6021"/>
    <cellStyle name="标题 2 2 10 3" xfId="1064"/>
    <cellStyle name="标题 2 2 10 3 2" xfId="6027"/>
    <cellStyle name="标题 2 2 10 3 3" xfId="6026"/>
    <cellStyle name="标题 2 2 10 4" xfId="1065"/>
    <cellStyle name="标题 2 2 10 4 2" xfId="8592"/>
    <cellStyle name="标题 2 2 10 5" xfId="1066"/>
    <cellStyle name="标题 2 2 10 5 2" xfId="5041"/>
    <cellStyle name="标题 2 2 10 6" xfId="6020"/>
    <cellStyle name="标题 2 2 11" xfId="1067"/>
    <cellStyle name="标题 2 2 11 2" xfId="1068"/>
    <cellStyle name="标题 2 2 11 2 2" xfId="1069"/>
    <cellStyle name="标题 2 2 11 2 2 2" xfId="6031"/>
    <cellStyle name="标题 2 2 11 2 2 3" xfId="6030"/>
    <cellStyle name="标题 2 2 11 2 3" xfId="1070"/>
    <cellStyle name="标题 2 2 11 2 3 2" xfId="6032"/>
    <cellStyle name="标题 2 2 11 2 4" xfId="1071"/>
    <cellStyle name="标题 2 2 11 2 4 2" xfId="6033"/>
    <cellStyle name="标题 2 2 11 2 5" xfId="1072"/>
    <cellStyle name="标题 2 2 11 2 5 2" xfId="9760"/>
    <cellStyle name="标题 2 2 11 2 6" xfId="6029"/>
    <cellStyle name="标题 2 2 11 3" xfId="1073"/>
    <cellStyle name="标题 2 2 11 3 2" xfId="6035"/>
    <cellStyle name="标题 2 2 11 3 3" xfId="6034"/>
    <cellStyle name="标题 2 2 11 4" xfId="1074"/>
    <cellStyle name="标题 2 2 11 4 2" xfId="8591"/>
    <cellStyle name="标题 2 2 11 5" xfId="1075"/>
    <cellStyle name="标题 2 2 11 5 2" xfId="5042"/>
    <cellStyle name="标题 2 2 11 6" xfId="6028"/>
    <cellStyle name="标题 2 2 12" xfId="1076"/>
    <cellStyle name="标题 2 2 12 2" xfId="1077"/>
    <cellStyle name="标题 2 2 12 2 2" xfId="1078"/>
    <cellStyle name="标题 2 2 12 2 2 2" xfId="6039"/>
    <cellStyle name="标题 2 2 12 2 2 3" xfId="6038"/>
    <cellStyle name="标题 2 2 12 2 3" xfId="1079"/>
    <cellStyle name="标题 2 2 12 2 3 2" xfId="6040"/>
    <cellStyle name="标题 2 2 12 2 4" xfId="1080"/>
    <cellStyle name="标题 2 2 12 2 4 2" xfId="6041"/>
    <cellStyle name="标题 2 2 12 2 5" xfId="1081"/>
    <cellStyle name="标题 2 2 12 2 5 2" xfId="9762"/>
    <cellStyle name="标题 2 2 12 2 6" xfId="6037"/>
    <cellStyle name="标题 2 2 12 3" xfId="1082"/>
    <cellStyle name="标题 2 2 12 3 2" xfId="6043"/>
    <cellStyle name="标题 2 2 12 3 3" xfId="6042"/>
    <cellStyle name="标题 2 2 12 4" xfId="1083"/>
    <cellStyle name="标题 2 2 12 4 2" xfId="8590"/>
    <cellStyle name="标题 2 2 12 5" xfId="1084"/>
    <cellStyle name="标题 2 2 12 5 2" xfId="5043"/>
    <cellStyle name="标题 2 2 12 6" xfId="6036"/>
    <cellStyle name="标题 2 2 13" xfId="1085"/>
    <cellStyle name="标题 2 2 13 2" xfId="1086"/>
    <cellStyle name="标题 2 2 13 2 2" xfId="6046"/>
    <cellStyle name="标题 2 2 13 2 3" xfId="6045"/>
    <cellStyle name="标题 2 2 13 3" xfId="1087"/>
    <cellStyle name="标题 2 2 13 3 2" xfId="6047"/>
    <cellStyle name="标题 2 2 13 4" xfId="1088"/>
    <cellStyle name="标题 2 2 13 4 2" xfId="6048"/>
    <cellStyle name="标题 2 2 13 5" xfId="1089"/>
    <cellStyle name="标题 2 2 13 5 2" xfId="5044"/>
    <cellStyle name="标题 2 2 13 6" xfId="6044"/>
    <cellStyle name="标题 2 2 14" xfId="1090"/>
    <cellStyle name="标题 2 2 14 2" xfId="1091"/>
    <cellStyle name="标题 2 2 14 2 2" xfId="6050"/>
    <cellStyle name="标题 2 2 14 3" xfId="6049"/>
    <cellStyle name="标题 2 2 15" xfId="1092"/>
    <cellStyle name="标题 2 2 15 2" xfId="8589"/>
    <cellStyle name="标题 2 2 16" xfId="1093"/>
    <cellStyle name="标题 2 2 16 2" xfId="5045"/>
    <cellStyle name="标题 2 2 17" xfId="4278"/>
    <cellStyle name="标题 2 2 2" xfId="1094"/>
    <cellStyle name="标题 2 2 2 2" xfId="1095"/>
    <cellStyle name="标题 2 2 2 2 2" xfId="1096"/>
    <cellStyle name="标题 2 2 2 2 2 2" xfId="1097"/>
    <cellStyle name="标题 2 2 2 2 2 2 2" xfId="6054"/>
    <cellStyle name="标题 2 2 2 2 2 3" xfId="1098"/>
    <cellStyle name="标题 2 2 2 2 2 3 2" xfId="5046"/>
    <cellStyle name="标题 2 2 2 2 2 4" xfId="1099"/>
    <cellStyle name="标题 2 2 2 2 2 4 2" xfId="5047"/>
    <cellStyle name="标题 2 2 2 2 2 5" xfId="4281"/>
    <cellStyle name="标题 2 2 2 2 3" xfId="1100"/>
    <cellStyle name="标题 2 2 2 2 3 2" xfId="6055"/>
    <cellStyle name="标题 2 2 2 2 4" xfId="1101"/>
    <cellStyle name="标题 2 2 2 2 4 2" xfId="6056"/>
    <cellStyle name="标题 2 2 2 2 5" xfId="1102"/>
    <cellStyle name="标题 2 2 2 2 5 2" xfId="9429"/>
    <cellStyle name="标题 2 2 2 2 6" xfId="4280"/>
    <cellStyle name="标题 2 2 2 3" xfId="1103"/>
    <cellStyle name="标题 2 2 2 3 2" xfId="1104"/>
    <cellStyle name="标题 2 2 2 3 2 2" xfId="6057"/>
    <cellStyle name="标题 2 2 2 3 3" xfId="1105"/>
    <cellStyle name="标题 2 2 2 3 3 2" xfId="9763"/>
    <cellStyle name="标题 2 2 2 3 4" xfId="1106"/>
    <cellStyle name="标题 2 2 2 3 4 2" xfId="5048"/>
    <cellStyle name="标题 2 2 2 3 5" xfId="4282"/>
    <cellStyle name="标题 2 2 2 4" xfId="1107"/>
    <cellStyle name="标题 2 2 2 4 2" xfId="8588"/>
    <cellStyle name="标题 2 2 2 5" xfId="1108"/>
    <cellStyle name="标题 2 2 2 5 2" xfId="8587"/>
    <cellStyle name="标题 2 2 2 6" xfId="4279"/>
    <cellStyle name="标题 2 2 3" xfId="1109"/>
    <cellStyle name="标题 2 2 3 2" xfId="1110"/>
    <cellStyle name="标题 2 2 3 2 2" xfId="1111"/>
    <cellStyle name="标题 2 2 3 2 2 2" xfId="1112"/>
    <cellStyle name="标题 2 2 3 2 2 2 2" xfId="6059"/>
    <cellStyle name="标题 2 2 3 2 2 3" xfId="1113"/>
    <cellStyle name="标题 2 2 3 2 2 3 2" xfId="5049"/>
    <cellStyle name="标题 2 2 3 2 2 4" xfId="1114"/>
    <cellStyle name="标题 2 2 3 2 2 4 2" xfId="5050"/>
    <cellStyle name="标题 2 2 3 2 2 5" xfId="4285"/>
    <cellStyle name="标题 2 2 3 2 3" xfId="1115"/>
    <cellStyle name="标题 2 2 3 2 3 2" xfId="6060"/>
    <cellStyle name="标题 2 2 3 2 4" xfId="1116"/>
    <cellStyle name="标题 2 2 3 2 4 2" xfId="6061"/>
    <cellStyle name="标题 2 2 3 2 5" xfId="1117"/>
    <cellStyle name="标题 2 2 3 2 5 2" xfId="5051"/>
    <cellStyle name="标题 2 2 3 2 6" xfId="4284"/>
    <cellStyle name="标题 2 2 3 3" xfId="1118"/>
    <cellStyle name="标题 2 2 3 3 2" xfId="1119"/>
    <cellStyle name="标题 2 2 3 3 2 2" xfId="6062"/>
    <cellStyle name="标题 2 2 3 3 3" xfId="1120"/>
    <cellStyle name="标题 2 2 3 3 3 2" xfId="9764"/>
    <cellStyle name="标题 2 2 3 3 4" xfId="1121"/>
    <cellStyle name="标题 2 2 3 3 4 2" xfId="9940"/>
    <cellStyle name="标题 2 2 3 3 5" xfId="4286"/>
    <cellStyle name="标题 2 2 3 4" xfId="1122"/>
    <cellStyle name="标题 2 2 3 4 2" xfId="8586"/>
    <cellStyle name="标题 2 2 3 5" xfId="1123"/>
    <cellStyle name="标题 2 2 3 5 2" xfId="8585"/>
    <cellStyle name="标题 2 2 3 6" xfId="4283"/>
    <cellStyle name="标题 2 2 4" xfId="1124"/>
    <cellStyle name="标题 2 2 4 2" xfId="1125"/>
    <cellStyle name="标题 2 2 4 2 2" xfId="1126"/>
    <cellStyle name="标题 2 2 4 2 2 2" xfId="6065"/>
    <cellStyle name="标题 2 2 4 2 2 3" xfId="6064"/>
    <cellStyle name="标题 2 2 4 2 3" xfId="1127"/>
    <cellStyle name="标题 2 2 4 2 3 2" xfId="6066"/>
    <cellStyle name="标题 2 2 4 2 4" xfId="1128"/>
    <cellStyle name="标题 2 2 4 2 4 2" xfId="6067"/>
    <cellStyle name="标题 2 2 4 2 5" xfId="1129"/>
    <cellStyle name="标题 2 2 4 2 5 2" xfId="5052"/>
    <cellStyle name="标题 2 2 4 2 6" xfId="6063"/>
    <cellStyle name="标题 2 2 4 3" xfId="1130"/>
    <cellStyle name="标题 2 2 4 3 2" xfId="6069"/>
    <cellStyle name="标题 2 2 4 3 3" xfId="6068"/>
    <cellStyle name="标题 2 2 4 4" xfId="1131"/>
    <cellStyle name="标题 2 2 4 4 2" xfId="8584"/>
    <cellStyle name="标题 2 2 4 5" xfId="1132"/>
    <cellStyle name="标题 2 2 4 5 2" xfId="5053"/>
    <cellStyle name="标题 2 2 4 6" xfId="4287"/>
    <cellStyle name="标题 2 2 5" xfId="1133"/>
    <cellStyle name="标题 2 2 5 2" xfId="1134"/>
    <cellStyle name="标题 2 2 5 2 2" xfId="1135"/>
    <cellStyle name="标题 2 2 5 2 2 2" xfId="6073"/>
    <cellStyle name="标题 2 2 5 2 2 3" xfId="6072"/>
    <cellStyle name="标题 2 2 5 2 3" xfId="1136"/>
    <cellStyle name="标题 2 2 5 2 3 2" xfId="6074"/>
    <cellStyle name="标题 2 2 5 2 4" xfId="1137"/>
    <cellStyle name="标题 2 2 5 2 4 2" xfId="6075"/>
    <cellStyle name="标题 2 2 5 2 5" xfId="1138"/>
    <cellStyle name="标题 2 2 5 2 5 2" xfId="5054"/>
    <cellStyle name="标题 2 2 5 2 6" xfId="6071"/>
    <cellStyle name="标题 2 2 5 3" xfId="1139"/>
    <cellStyle name="标题 2 2 5 3 2" xfId="6077"/>
    <cellStyle name="标题 2 2 5 3 3" xfId="6076"/>
    <cellStyle name="标题 2 2 5 4" xfId="1140"/>
    <cellStyle name="标题 2 2 5 4 2" xfId="8583"/>
    <cellStyle name="标题 2 2 5 5" xfId="1141"/>
    <cellStyle name="标题 2 2 5 5 2" xfId="5055"/>
    <cellStyle name="标题 2 2 5 6" xfId="4288"/>
    <cellStyle name="标题 2 2 6" xfId="1142"/>
    <cellStyle name="标题 2 2 6 2" xfId="1143"/>
    <cellStyle name="标题 2 2 6 2 2" xfId="1144"/>
    <cellStyle name="标题 2 2 6 2 2 2" xfId="6081"/>
    <cellStyle name="标题 2 2 6 2 2 3" xfId="6080"/>
    <cellStyle name="标题 2 2 6 2 3" xfId="1145"/>
    <cellStyle name="标题 2 2 6 2 3 2" xfId="6082"/>
    <cellStyle name="标题 2 2 6 2 4" xfId="1146"/>
    <cellStyle name="标题 2 2 6 2 4 2" xfId="6083"/>
    <cellStyle name="标题 2 2 6 2 5" xfId="1147"/>
    <cellStyle name="标题 2 2 6 2 5 2" xfId="9428"/>
    <cellStyle name="标题 2 2 6 2 6" xfId="6079"/>
    <cellStyle name="标题 2 2 6 3" xfId="1148"/>
    <cellStyle name="标题 2 2 6 3 2" xfId="6085"/>
    <cellStyle name="标题 2 2 6 3 3" xfId="6084"/>
    <cellStyle name="标题 2 2 6 4" xfId="1149"/>
    <cellStyle name="标题 2 2 6 4 2" xfId="8582"/>
    <cellStyle name="标题 2 2 6 5" xfId="1150"/>
    <cellStyle name="标题 2 2 6 5 2" xfId="9426"/>
    <cellStyle name="标题 2 2 6 6" xfId="6078"/>
    <cellStyle name="标题 2 2 7" xfId="1151"/>
    <cellStyle name="标题 2 2 7 2" xfId="1152"/>
    <cellStyle name="标题 2 2 7 2 2" xfId="1153"/>
    <cellStyle name="标题 2 2 7 2 2 2" xfId="6089"/>
    <cellStyle name="标题 2 2 7 2 2 3" xfId="6088"/>
    <cellStyle name="标题 2 2 7 2 3" xfId="1154"/>
    <cellStyle name="标题 2 2 7 2 3 2" xfId="6090"/>
    <cellStyle name="标题 2 2 7 2 4" xfId="1155"/>
    <cellStyle name="标题 2 2 7 2 4 2" xfId="6091"/>
    <cellStyle name="标题 2 2 7 2 5" xfId="1156"/>
    <cellStyle name="标题 2 2 7 2 5 2" xfId="9427"/>
    <cellStyle name="标题 2 2 7 2 6" xfId="6087"/>
    <cellStyle name="标题 2 2 7 3" xfId="1157"/>
    <cellStyle name="标题 2 2 7 3 2" xfId="6093"/>
    <cellStyle name="标题 2 2 7 3 3" xfId="6092"/>
    <cellStyle name="标题 2 2 7 4" xfId="1158"/>
    <cellStyle name="标题 2 2 7 4 2" xfId="8581"/>
    <cellStyle name="标题 2 2 7 5" xfId="1159"/>
    <cellStyle name="标题 2 2 7 5 2" xfId="5056"/>
    <cellStyle name="标题 2 2 7 6" xfId="6086"/>
    <cellStyle name="标题 2 2 8" xfId="1160"/>
    <cellStyle name="标题 2 2 8 2" xfId="1161"/>
    <cellStyle name="标题 2 2 8 2 2" xfId="1162"/>
    <cellStyle name="标题 2 2 8 2 2 2" xfId="6097"/>
    <cellStyle name="标题 2 2 8 2 2 3" xfId="6096"/>
    <cellStyle name="标题 2 2 8 2 3" xfId="1163"/>
    <cellStyle name="标题 2 2 8 2 3 2" xfId="6098"/>
    <cellStyle name="标题 2 2 8 2 4" xfId="1164"/>
    <cellStyle name="标题 2 2 8 2 4 2" xfId="6099"/>
    <cellStyle name="标题 2 2 8 2 5" xfId="1165"/>
    <cellStyle name="标题 2 2 8 2 5 2" xfId="9425"/>
    <cellStyle name="标题 2 2 8 2 6" xfId="6095"/>
    <cellStyle name="标题 2 2 8 3" xfId="1166"/>
    <cellStyle name="标题 2 2 8 3 2" xfId="6101"/>
    <cellStyle name="标题 2 2 8 3 3" xfId="6100"/>
    <cellStyle name="标题 2 2 8 4" xfId="1167"/>
    <cellStyle name="标题 2 2 8 4 2" xfId="8580"/>
    <cellStyle name="标题 2 2 8 5" xfId="1168"/>
    <cellStyle name="标题 2 2 8 5 2" xfId="9423"/>
    <cellStyle name="标题 2 2 8 6" xfId="6094"/>
    <cellStyle name="标题 2 2 9" xfId="1169"/>
    <cellStyle name="标题 2 2 9 2" xfId="1170"/>
    <cellStyle name="标题 2 2 9 2 2" xfId="1171"/>
    <cellStyle name="标题 2 2 9 2 2 2" xfId="6105"/>
    <cellStyle name="标题 2 2 9 2 2 3" xfId="6104"/>
    <cellStyle name="标题 2 2 9 2 3" xfId="1172"/>
    <cellStyle name="标题 2 2 9 2 3 2" xfId="6106"/>
    <cellStyle name="标题 2 2 9 2 4" xfId="1173"/>
    <cellStyle name="标题 2 2 9 2 4 2" xfId="6107"/>
    <cellStyle name="标题 2 2 9 2 5" xfId="1174"/>
    <cellStyle name="标题 2 2 9 2 5 2" xfId="9424"/>
    <cellStyle name="标题 2 2 9 2 6" xfId="6103"/>
    <cellStyle name="标题 2 2 9 3" xfId="1175"/>
    <cellStyle name="标题 2 2 9 3 2" xfId="6109"/>
    <cellStyle name="标题 2 2 9 3 3" xfId="6108"/>
    <cellStyle name="标题 2 2 9 4" xfId="1176"/>
    <cellStyle name="标题 2 2 9 4 2" xfId="8579"/>
    <cellStyle name="标题 2 2 9 5" xfId="1177"/>
    <cellStyle name="标题 2 2 9 5 2" xfId="5057"/>
    <cellStyle name="标题 2 2 9 6" xfId="6102"/>
    <cellStyle name="标题 2 3" xfId="1178"/>
    <cellStyle name="标题 2 3 2" xfId="1179"/>
    <cellStyle name="标题 2 3 2 2" xfId="1180"/>
    <cellStyle name="标题 2 3 2 2 2" xfId="5058"/>
    <cellStyle name="标题 2 3 2 3" xfId="4290"/>
    <cellStyle name="标题 2 3 3" xfId="1181"/>
    <cellStyle name="标题 2 3 3 2" xfId="4291"/>
    <cellStyle name="标题 2 3 4" xfId="1182"/>
    <cellStyle name="标题 2 3 4 2" xfId="5059"/>
    <cellStyle name="标题 2 3 5" xfId="4289"/>
    <cellStyle name="标题 2 4" xfId="1183"/>
    <cellStyle name="标题 2 4 2" xfId="4292"/>
    <cellStyle name="标题 2 5" xfId="6019"/>
    <cellStyle name="标题 3 2" xfId="1184"/>
    <cellStyle name="标题 3 2 10" xfId="1185"/>
    <cellStyle name="标题 3 2 10 2" xfId="1186"/>
    <cellStyle name="标题 3 2 10 2 2" xfId="1187"/>
    <cellStyle name="标题 3 2 10 2 2 2" xfId="6114"/>
    <cellStyle name="标题 3 2 10 2 2 3" xfId="6113"/>
    <cellStyle name="标题 3 2 10 2 3" xfId="1188"/>
    <cellStyle name="标题 3 2 10 2 3 2" xfId="6115"/>
    <cellStyle name="标题 3 2 10 2 4" xfId="1189"/>
    <cellStyle name="标题 3 2 10 2 4 2" xfId="6116"/>
    <cellStyle name="标题 3 2 10 2 5" xfId="1190"/>
    <cellStyle name="标题 3 2 10 2 5 2" xfId="9422"/>
    <cellStyle name="标题 3 2 10 2 6" xfId="6112"/>
    <cellStyle name="标题 3 2 10 3" xfId="1191"/>
    <cellStyle name="标题 3 2 10 3 2" xfId="6118"/>
    <cellStyle name="标题 3 2 10 3 3" xfId="6117"/>
    <cellStyle name="标题 3 2 10 4" xfId="1192"/>
    <cellStyle name="标题 3 2 10 4 2" xfId="8576"/>
    <cellStyle name="标题 3 2 10 5" xfId="1193"/>
    <cellStyle name="标题 3 2 10 5 2" xfId="9421"/>
    <cellStyle name="标题 3 2 10 6" xfId="6111"/>
    <cellStyle name="标题 3 2 11" xfId="1194"/>
    <cellStyle name="标题 3 2 11 2" xfId="1195"/>
    <cellStyle name="标题 3 2 11 2 2" xfId="1196"/>
    <cellStyle name="标题 3 2 11 2 2 2" xfId="6122"/>
    <cellStyle name="标题 3 2 11 2 2 3" xfId="6121"/>
    <cellStyle name="标题 3 2 11 2 3" xfId="1197"/>
    <cellStyle name="标题 3 2 11 2 3 2" xfId="6123"/>
    <cellStyle name="标题 3 2 11 2 4" xfId="1198"/>
    <cellStyle name="标题 3 2 11 2 4 2" xfId="6124"/>
    <cellStyle name="标题 3 2 11 2 5" xfId="1199"/>
    <cellStyle name="标题 3 2 11 2 5 2" xfId="9765"/>
    <cellStyle name="标题 3 2 11 2 6" xfId="6120"/>
    <cellStyle name="标题 3 2 11 3" xfId="1200"/>
    <cellStyle name="标题 3 2 11 3 2" xfId="6126"/>
    <cellStyle name="标题 3 2 11 3 3" xfId="6125"/>
    <cellStyle name="标题 3 2 11 4" xfId="1201"/>
    <cellStyle name="标题 3 2 11 4 2" xfId="8575"/>
    <cellStyle name="标题 3 2 11 5" xfId="1202"/>
    <cellStyle name="标题 3 2 11 5 2" xfId="9420"/>
    <cellStyle name="标题 3 2 11 6" xfId="6119"/>
    <cellStyle name="标题 3 2 12" xfId="1203"/>
    <cellStyle name="标题 3 2 12 2" xfId="1204"/>
    <cellStyle name="标题 3 2 12 2 2" xfId="1205"/>
    <cellStyle name="标题 3 2 12 2 2 2" xfId="6130"/>
    <cellStyle name="标题 3 2 12 2 2 3" xfId="6129"/>
    <cellStyle name="标题 3 2 12 2 3" xfId="1206"/>
    <cellStyle name="标题 3 2 12 2 3 2" xfId="6131"/>
    <cellStyle name="标题 3 2 12 2 4" xfId="1207"/>
    <cellStyle name="标题 3 2 12 2 4 2" xfId="6132"/>
    <cellStyle name="标题 3 2 12 2 5" xfId="1208"/>
    <cellStyle name="标题 3 2 12 2 5 2" xfId="9419"/>
    <cellStyle name="标题 3 2 12 2 6" xfId="6128"/>
    <cellStyle name="标题 3 2 12 3" xfId="1209"/>
    <cellStyle name="标题 3 2 12 3 2" xfId="6134"/>
    <cellStyle name="标题 3 2 12 3 3" xfId="6133"/>
    <cellStyle name="标题 3 2 12 4" xfId="1210"/>
    <cellStyle name="标题 3 2 12 4 2" xfId="8574"/>
    <cellStyle name="标题 3 2 12 5" xfId="1211"/>
    <cellStyle name="标题 3 2 12 5 2" xfId="9418"/>
    <cellStyle name="标题 3 2 12 6" xfId="6127"/>
    <cellStyle name="标题 3 2 13" xfId="1212"/>
    <cellStyle name="标题 3 2 13 2" xfId="1213"/>
    <cellStyle name="标题 3 2 13 2 2" xfId="6137"/>
    <cellStyle name="标题 3 2 13 2 3" xfId="6136"/>
    <cellStyle name="标题 3 2 13 3" xfId="1214"/>
    <cellStyle name="标题 3 2 13 3 2" xfId="6138"/>
    <cellStyle name="标题 3 2 13 4" xfId="1215"/>
    <cellStyle name="标题 3 2 13 4 2" xfId="6139"/>
    <cellStyle name="标题 3 2 13 5" xfId="1216"/>
    <cellStyle name="标题 3 2 13 5 2" xfId="5060"/>
    <cellStyle name="标题 3 2 13 6" xfId="6135"/>
    <cellStyle name="标题 3 2 14" xfId="1217"/>
    <cellStyle name="标题 3 2 14 2" xfId="1218"/>
    <cellStyle name="标题 3 2 14 2 2" xfId="6141"/>
    <cellStyle name="标题 3 2 14 3" xfId="6140"/>
    <cellStyle name="标题 3 2 15" xfId="1219"/>
    <cellStyle name="标题 3 2 15 2" xfId="8573"/>
    <cellStyle name="标题 3 2 16" xfId="1220"/>
    <cellStyle name="标题 3 2 16 2" xfId="9417"/>
    <cellStyle name="标题 3 2 17" xfId="4293"/>
    <cellStyle name="标题 3 2 2" xfId="1221"/>
    <cellStyle name="标题 3 2 2 2" xfId="1222"/>
    <cellStyle name="标题 3 2 2 2 2" xfId="1223"/>
    <cellStyle name="标题 3 2 2 2 2 2" xfId="1224"/>
    <cellStyle name="标题 3 2 2 2 2 2 2" xfId="6143"/>
    <cellStyle name="标题 3 2 2 2 2 3" xfId="1225"/>
    <cellStyle name="标题 3 2 2 2 2 3 2" xfId="5061"/>
    <cellStyle name="标题 3 2 2 2 2 4" xfId="1226"/>
    <cellStyle name="标题 3 2 2 2 2 4 2" xfId="9416"/>
    <cellStyle name="标题 3 2 2 2 2 5" xfId="4296"/>
    <cellStyle name="标题 3 2 2 2 3" xfId="1227"/>
    <cellStyle name="标题 3 2 2 2 3 2" xfId="6144"/>
    <cellStyle name="标题 3 2 2 2 4" xfId="1228"/>
    <cellStyle name="标题 3 2 2 2 4 2" xfId="6145"/>
    <cellStyle name="标题 3 2 2 2 5" xfId="1229"/>
    <cellStyle name="标题 3 2 2 2 5 2" xfId="9415"/>
    <cellStyle name="标题 3 2 2 2 6" xfId="4295"/>
    <cellStyle name="标题 3 2 2 3" xfId="1230"/>
    <cellStyle name="标题 3 2 2 3 2" xfId="1231"/>
    <cellStyle name="标题 3 2 2 3 2 2" xfId="6146"/>
    <cellStyle name="标题 3 2 2 3 3" xfId="1232"/>
    <cellStyle name="标题 3 2 2 3 3 2" xfId="5062"/>
    <cellStyle name="标题 3 2 2 3 4" xfId="1233"/>
    <cellStyle name="标题 3 2 2 3 4 2" xfId="9411"/>
    <cellStyle name="标题 3 2 2 3 5" xfId="4297"/>
    <cellStyle name="标题 3 2 2 4" xfId="1234"/>
    <cellStyle name="标题 3 2 2 4 2" xfId="8572"/>
    <cellStyle name="标题 3 2 2 5" xfId="1235"/>
    <cellStyle name="标题 3 2 2 5 2" xfId="8571"/>
    <cellStyle name="标题 3 2 2 6" xfId="4294"/>
    <cellStyle name="标题 3 2 3" xfId="1236"/>
    <cellStyle name="标题 3 2 3 2" xfId="1237"/>
    <cellStyle name="标题 3 2 3 2 2" xfId="1238"/>
    <cellStyle name="标题 3 2 3 2 2 2" xfId="1239"/>
    <cellStyle name="标题 3 2 3 2 2 2 2" xfId="6150"/>
    <cellStyle name="标题 3 2 3 2 2 3" xfId="1240"/>
    <cellStyle name="标题 3 2 3 2 2 3 2" xfId="9412"/>
    <cellStyle name="标题 3 2 3 2 2 4" xfId="1241"/>
    <cellStyle name="标题 3 2 3 2 2 4 2" xfId="5063"/>
    <cellStyle name="标题 3 2 3 2 2 5" xfId="4300"/>
    <cellStyle name="标题 3 2 3 2 3" xfId="1242"/>
    <cellStyle name="标题 3 2 3 2 3 2" xfId="6151"/>
    <cellStyle name="标题 3 2 3 2 4" xfId="1243"/>
    <cellStyle name="标题 3 2 3 2 4 2" xfId="6152"/>
    <cellStyle name="标题 3 2 3 2 5" xfId="1244"/>
    <cellStyle name="标题 3 2 3 2 5 2" xfId="9414"/>
    <cellStyle name="标题 3 2 3 2 6" xfId="4299"/>
    <cellStyle name="标题 3 2 3 3" xfId="1245"/>
    <cellStyle name="标题 3 2 3 3 2" xfId="1246"/>
    <cellStyle name="标题 3 2 3 3 2 2" xfId="6154"/>
    <cellStyle name="标题 3 2 3 3 3" xfId="1247"/>
    <cellStyle name="标题 3 2 3 3 3 2" xfId="9413"/>
    <cellStyle name="标题 3 2 3 3 4" xfId="1248"/>
    <cellStyle name="标题 3 2 3 3 4 2" xfId="5064"/>
    <cellStyle name="标题 3 2 3 3 5" xfId="4301"/>
    <cellStyle name="标题 3 2 3 4" xfId="1249"/>
    <cellStyle name="标题 3 2 3 4 2" xfId="8570"/>
    <cellStyle name="标题 3 2 3 5" xfId="1250"/>
    <cellStyle name="标题 3 2 3 5 2" xfId="8569"/>
    <cellStyle name="标题 3 2 3 6" xfId="4298"/>
    <cellStyle name="标题 3 2 4" xfId="1251"/>
    <cellStyle name="标题 3 2 4 2" xfId="1252"/>
    <cellStyle name="标题 3 2 4 2 2" xfId="1253"/>
    <cellStyle name="标题 3 2 4 2 2 2" xfId="6158"/>
    <cellStyle name="标题 3 2 4 2 2 3" xfId="6157"/>
    <cellStyle name="标题 3 2 4 2 3" xfId="1254"/>
    <cellStyle name="标题 3 2 4 2 3 2" xfId="6159"/>
    <cellStyle name="标题 3 2 4 2 4" xfId="1255"/>
    <cellStyle name="标题 3 2 4 2 4 2" xfId="6160"/>
    <cellStyle name="标题 3 2 4 2 5" xfId="1256"/>
    <cellStyle name="标题 3 2 4 2 5 2" xfId="9409"/>
    <cellStyle name="标题 3 2 4 2 6" xfId="6156"/>
    <cellStyle name="标题 3 2 4 3" xfId="1257"/>
    <cellStyle name="标题 3 2 4 3 2" xfId="6162"/>
    <cellStyle name="标题 3 2 4 3 3" xfId="6161"/>
    <cellStyle name="标题 3 2 4 4" xfId="1258"/>
    <cellStyle name="标题 3 2 4 4 2" xfId="8568"/>
    <cellStyle name="标题 3 2 4 5" xfId="1259"/>
    <cellStyle name="标题 3 2 4 5 2" xfId="9410"/>
    <cellStyle name="标题 3 2 4 6" xfId="4302"/>
    <cellStyle name="标题 3 2 5" xfId="1260"/>
    <cellStyle name="标题 3 2 5 2" xfId="1261"/>
    <cellStyle name="标题 3 2 5 2 2" xfId="1262"/>
    <cellStyle name="标题 3 2 5 2 2 2" xfId="6165"/>
    <cellStyle name="标题 3 2 5 2 2 3" xfId="6164"/>
    <cellStyle name="标题 3 2 5 2 3" xfId="1263"/>
    <cellStyle name="标题 3 2 5 2 3 2" xfId="6166"/>
    <cellStyle name="标题 3 2 5 2 4" xfId="1264"/>
    <cellStyle name="标题 3 2 5 2 4 2" xfId="6167"/>
    <cellStyle name="标题 3 2 5 2 5" xfId="1265"/>
    <cellStyle name="标题 3 2 5 2 5 2" xfId="5065"/>
    <cellStyle name="标题 3 2 5 2 6" xfId="6163"/>
    <cellStyle name="标题 3 2 5 3" xfId="1266"/>
    <cellStyle name="标题 3 2 5 3 2" xfId="6169"/>
    <cellStyle name="标题 3 2 5 3 3" xfId="6168"/>
    <cellStyle name="标题 3 2 5 4" xfId="1267"/>
    <cellStyle name="标题 3 2 5 4 2" xfId="8567"/>
    <cellStyle name="标题 3 2 5 5" xfId="1268"/>
    <cellStyle name="标题 3 2 5 5 2" xfId="9408"/>
    <cellStyle name="标题 3 2 5 6" xfId="4303"/>
    <cellStyle name="标题 3 2 6" xfId="1269"/>
    <cellStyle name="标题 3 2 6 2" xfId="1270"/>
    <cellStyle name="标题 3 2 6 2 2" xfId="1271"/>
    <cellStyle name="标题 3 2 6 2 2 2" xfId="6173"/>
    <cellStyle name="标题 3 2 6 2 2 3" xfId="6172"/>
    <cellStyle name="标题 3 2 6 2 3" xfId="1272"/>
    <cellStyle name="标题 3 2 6 2 3 2" xfId="6174"/>
    <cellStyle name="标题 3 2 6 2 4" xfId="1273"/>
    <cellStyle name="标题 3 2 6 2 4 2" xfId="6175"/>
    <cellStyle name="标题 3 2 6 2 5" xfId="1274"/>
    <cellStyle name="标题 3 2 6 2 5 2" xfId="8668"/>
    <cellStyle name="标题 3 2 6 2 6" xfId="6171"/>
    <cellStyle name="标题 3 2 6 3" xfId="1275"/>
    <cellStyle name="标题 3 2 6 3 2" xfId="6177"/>
    <cellStyle name="标题 3 2 6 3 3" xfId="6176"/>
    <cellStyle name="标题 3 2 6 4" xfId="1276"/>
    <cellStyle name="标题 3 2 6 4 2" xfId="8566"/>
    <cellStyle name="标题 3 2 6 5" xfId="1277"/>
    <cellStyle name="标题 3 2 6 5 2" xfId="9766"/>
    <cellStyle name="标题 3 2 6 6" xfId="6170"/>
    <cellStyle name="标题 3 2 7" xfId="1278"/>
    <cellStyle name="标题 3 2 7 2" xfId="1279"/>
    <cellStyle name="标题 3 2 7 2 2" xfId="1280"/>
    <cellStyle name="标题 3 2 7 2 2 2" xfId="6181"/>
    <cellStyle name="标题 3 2 7 2 2 3" xfId="6180"/>
    <cellStyle name="标题 3 2 7 2 3" xfId="1281"/>
    <cellStyle name="标题 3 2 7 2 3 2" xfId="6182"/>
    <cellStyle name="标题 3 2 7 2 4" xfId="1282"/>
    <cellStyle name="标题 3 2 7 2 4 2" xfId="6183"/>
    <cellStyle name="标题 3 2 7 2 5" xfId="1283"/>
    <cellStyle name="标题 3 2 7 2 5 2" xfId="5066"/>
    <cellStyle name="标题 3 2 7 2 6" xfId="6179"/>
    <cellStyle name="标题 3 2 7 3" xfId="1284"/>
    <cellStyle name="标题 3 2 7 3 2" xfId="6185"/>
    <cellStyle name="标题 3 2 7 3 3" xfId="6184"/>
    <cellStyle name="标题 3 2 7 4" xfId="1285"/>
    <cellStyle name="标题 3 2 7 4 2" xfId="8565"/>
    <cellStyle name="标题 3 2 7 5" xfId="1286"/>
    <cellStyle name="标题 3 2 7 5 2" xfId="5067"/>
    <cellStyle name="标题 3 2 7 6" xfId="6178"/>
    <cellStyle name="标题 3 2 8" xfId="1287"/>
    <cellStyle name="标题 3 2 8 2" xfId="1288"/>
    <cellStyle name="标题 3 2 8 2 2" xfId="1289"/>
    <cellStyle name="标题 3 2 8 2 2 2" xfId="6189"/>
    <cellStyle name="标题 3 2 8 2 2 3" xfId="6188"/>
    <cellStyle name="标题 3 2 8 2 3" xfId="1290"/>
    <cellStyle name="标题 3 2 8 2 3 2" xfId="6190"/>
    <cellStyle name="标题 3 2 8 2 4" xfId="1291"/>
    <cellStyle name="标题 3 2 8 2 4 2" xfId="6191"/>
    <cellStyle name="标题 3 2 8 2 5" xfId="1292"/>
    <cellStyle name="标题 3 2 8 2 5 2" xfId="5068"/>
    <cellStyle name="标题 3 2 8 2 6" xfId="6187"/>
    <cellStyle name="标题 3 2 8 3" xfId="1293"/>
    <cellStyle name="标题 3 2 8 3 2" xfId="6193"/>
    <cellStyle name="标题 3 2 8 3 3" xfId="6192"/>
    <cellStyle name="标题 3 2 8 4" xfId="1294"/>
    <cellStyle name="标题 3 2 8 4 2" xfId="8564"/>
    <cellStyle name="标题 3 2 8 5" xfId="1295"/>
    <cellStyle name="标题 3 2 8 5 2" xfId="5880"/>
    <cellStyle name="标题 3 2 8 6" xfId="6186"/>
    <cellStyle name="标题 3 2 9" xfId="1296"/>
    <cellStyle name="标题 3 2 9 2" xfId="1297"/>
    <cellStyle name="标题 3 2 9 2 2" xfId="1298"/>
    <cellStyle name="标题 3 2 9 2 2 2" xfId="6197"/>
    <cellStyle name="标题 3 2 9 2 2 3" xfId="6196"/>
    <cellStyle name="标题 3 2 9 2 3" xfId="1299"/>
    <cellStyle name="标题 3 2 9 2 3 2" xfId="6198"/>
    <cellStyle name="标题 3 2 9 2 4" xfId="1300"/>
    <cellStyle name="标题 3 2 9 2 4 2" xfId="6199"/>
    <cellStyle name="标题 3 2 9 2 5" xfId="1301"/>
    <cellStyle name="标题 3 2 9 2 5 2" xfId="9402"/>
    <cellStyle name="标题 3 2 9 2 6" xfId="6195"/>
    <cellStyle name="标题 3 2 9 3" xfId="1302"/>
    <cellStyle name="标题 3 2 9 3 2" xfId="6201"/>
    <cellStyle name="标题 3 2 9 3 3" xfId="6200"/>
    <cellStyle name="标题 3 2 9 4" xfId="1303"/>
    <cellStyle name="标题 3 2 9 4 2" xfId="8563"/>
    <cellStyle name="标题 3 2 9 5" xfId="1304"/>
    <cellStyle name="标题 3 2 9 5 2" xfId="5069"/>
    <cellStyle name="标题 3 2 9 6" xfId="6194"/>
    <cellStyle name="标题 3 3" xfId="1305"/>
    <cellStyle name="标题 3 3 2" xfId="1306"/>
    <cellStyle name="标题 3 3 2 2" xfId="1307"/>
    <cellStyle name="标题 3 3 2 2 2" xfId="5070"/>
    <cellStyle name="标题 3 3 2 3" xfId="4305"/>
    <cellStyle name="标题 3 3 3" xfId="1308"/>
    <cellStyle name="标题 3 3 3 2" xfId="4306"/>
    <cellStyle name="标题 3 3 4" xfId="1309"/>
    <cellStyle name="标题 3 3 4 2" xfId="9407"/>
    <cellStyle name="标题 3 3 5" xfId="4304"/>
    <cellStyle name="标题 3 4" xfId="1310"/>
    <cellStyle name="标题 3 4 2" xfId="4307"/>
    <cellStyle name="标题 3 5" xfId="6110"/>
    <cellStyle name="标题 4 2" xfId="1311"/>
    <cellStyle name="标题 4 2 10" xfId="1312"/>
    <cellStyle name="标题 4 2 10 2" xfId="1313"/>
    <cellStyle name="标题 4 2 10 2 2" xfId="1314"/>
    <cellStyle name="标题 4 2 10 2 2 2" xfId="6206"/>
    <cellStyle name="标题 4 2 10 2 2 3" xfId="6205"/>
    <cellStyle name="标题 4 2 10 2 3" xfId="1315"/>
    <cellStyle name="标题 4 2 10 2 3 2" xfId="6207"/>
    <cellStyle name="标题 4 2 10 2 4" xfId="1316"/>
    <cellStyle name="标题 4 2 10 2 4 2" xfId="6208"/>
    <cellStyle name="标题 4 2 10 2 5" xfId="1317"/>
    <cellStyle name="标题 4 2 10 2 5 2" xfId="5071"/>
    <cellStyle name="标题 4 2 10 2 6" xfId="6204"/>
    <cellStyle name="标题 4 2 10 3" xfId="1318"/>
    <cellStyle name="标题 4 2 10 3 2" xfId="6210"/>
    <cellStyle name="标题 4 2 10 3 3" xfId="6209"/>
    <cellStyle name="标题 4 2 10 4" xfId="1319"/>
    <cellStyle name="标题 4 2 10 4 2" xfId="8562"/>
    <cellStyle name="标题 4 2 10 5" xfId="1320"/>
    <cellStyle name="标题 4 2 10 5 2" xfId="5072"/>
    <cellStyle name="标题 4 2 10 6" xfId="6203"/>
    <cellStyle name="标题 4 2 11" xfId="1321"/>
    <cellStyle name="标题 4 2 11 2" xfId="1322"/>
    <cellStyle name="标题 4 2 11 2 2" xfId="1323"/>
    <cellStyle name="标题 4 2 11 2 2 2" xfId="6214"/>
    <cellStyle name="标题 4 2 11 2 2 3" xfId="6213"/>
    <cellStyle name="标题 4 2 11 2 3" xfId="1324"/>
    <cellStyle name="标题 4 2 11 2 3 2" xfId="6215"/>
    <cellStyle name="标题 4 2 11 2 4" xfId="1325"/>
    <cellStyle name="标题 4 2 11 2 4 2" xfId="6216"/>
    <cellStyle name="标题 4 2 11 2 5" xfId="1326"/>
    <cellStyle name="标题 4 2 11 2 5 2" xfId="9406"/>
    <cellStyle name="标题 4 2 11 2 6" xfId="6212"/>
    <cellStyle name="标题 4 2 11 3" xfId="1327"/>
    <cellStyle name="标题 4 2 11 3 2" xfId="6218"/>
    <cellStyle name="标题 4 2 11 3 3" xfId="6217"/>
    <cellStyle name="标题 4 2 11 4" xfId="1328"/>
    <cellStyle name="标题 4 2 11 4 2" xfId="8561"/>
    <cellStyle name="标题 4 2 11 5" xfId="1329"/>
    <cellStyle name="标题 4 2 11 5 2" xfId="5073"/>
    <cellStyle name="标题 4 2 11 6" xfId="6211"/>
    <cellStyle name="标题 4 2 12" xfId="1330"/>
    <cellStyle name="标题 4 2 12 2" xfId="1331"/>
    <cellStyle name="标题 4 2 12 2 2" xfId="1332"/>
    <cellStyle name="标题 4 2 12 2 2 2" xfId="6222"/>
    <cellStyle name="标题 4 2 12 2 2 3" xfId="6221"/>
    <cellStyle name="标题 4 2 12 2 3" xfId="1333"/>
    <cellStyle name="标题 4 2 12 2 3 2" xfId="6223"/>
    <cellStyle name="标题 4 2 12 2 4" xfId="1334"/>
    <cellStyle name="标题 4 2 12 2 4 2" xfId="6224"/>
    <cellStyle name="标题 4 2 12 2 5" xfId="1335"/>
    <cellStyle name="标题 4 2 12 2 5 2" xfId="5074"/>
    <cellStyle name="标题 4 2 12 2 6" xfId="6220"/>
    <cellStyle name="标题 4 2 12 3" xfId="1336"/>
    <cellStyle name="标题 4 2 12 3 2" xfId="6226"/>
    <cellStyle name="标题 4 2 12 3 3" xfId="6225"/>
    <cellStyle name="标题 4 2 12 4" xfId="1337"/>
    <cellStyle name="标题 4 2 12 4 2" xfId="8560"/>
    <cellStyle name="标题 4 2 12 5" xfId="1338"/>
    <cellStyle name="标题 4 2 12 5 2" xfId="5075"/>
    <cellStyle name="标题 4 2 12 6" xfId="6219"/>
    <cellStyle name="标题 4 2 13" xfId="1339"/>
    <cellStyle name="标题 4 2 13 2" xfId="1340"/>
    <cellStyle name="标题 4 2 13 2 2" xfId="6229"/>
    <cellStyle name="标题 4 2 13 2 3" xfId="6228"/>
    <cellStyle name="标题 4 2 13 3" xfId="1341"/>
    <cellStyle name="标题 4 2 13 3 2" xfId="6230"/>
    <cellStyle name="标题 4 2 13 4" xfId="1342"/>
    <cellStyle name="标题 4 2 13 4 2" xfId="6231"/>
    <cellStyle name="标题 4 2 13 5" xfId="1343"/>
    <cellStyle name="标题 4 2 13 5 2" xfId="5076"/>
    <cellStyle name="标题 4 2 13 6" xfId="6227"/>
    <cellStyle name="标题 4 2 14" xfId="1344"/>
    <cellStyle name="标题 4 2 14 2" xfId="1345"/>
    <cellStyle name="标题 4 2 14 2 2" xfId="6233"/>
    <cellStyle name="标题 4 2 14 3" xfId="6232"/>
    <cellStyle name="标题 4 2 15" xfId="1346"/>
    <cellStyle name="标题 4 2 15 2" xfId="8559"/>
    <cellStyle name="标题 4 2 16" xfId="1347"/>
    <cellStyle name="标题 4 2 16 2" xfId="8658"/>
    <cellStyle name="标题 4 2 17" xfId="4308"/>
    <cellStyle name="标题 4 2 2" xfId="1348"/>
    <cellStyle name="标题 4 2 2 2" xfId="1349"/>
    <cellStyle name="标题 4 2 2 2 2" xfId="1350"/>
    <cellStyle name="标题 4 2 2 2 2 2" xfId="1351"/>
    <cellStyle name="标题 4 2 2 2 2 2 2" xfId="6234"/>
    <cellStyle name="标题 4 2 2 2 2 3" xfId="1352"/>
    <cellStyle name="标题 4 2 2 2 2 3 2" xfId="5077"/>
    <cellStyle name="标题 4 2 2 2 2 4" xfId="1353"/>
    <cellStyle name="标题 4 2 2 2 2 4 2" xfId="5078"/>
    <cellStyle name="标题 4 2 2 2 2 5" xfId="4311"/>
    <cellStyle name="标题 4 2 2 2 3" xfId="1354"/>
    <cellStyle name="标题 4 2 2 2 3 2" xfId="6235"/>
    <cellStyle name="标题 4 2 2 2 4" xfId="1355"/>
    <cellStyle name="标题 4 2 2 2 4 2" xfId="6236"/>
    <cellStyle name="标题 4 2 2 2 5" xfId="1356"/>
    <cellStyle name="标题 4 2 2 2 5 2" xfId="5079"/>
    <cellStyle name="标题 4 2 2 2 6" xfId="4310"/>
    <cellStyle name="标题 4 2 2 3" xfId="1357"/>
    <cellStyle name="标题 4 2 2 3 2" xfId="1358"/>
    <cellStyle name="标题 4 2 2 3 2 2" xfId="6237"/>
    <cellStyle name="标题 4 2 2 3 3" xfId="1359"/>
    <cellStyle name="标题 4 2 2 3 3 2" xfId="9404"/>
    <cellStyle name="标题 4 2 2 3 4" xfId="1360"/>
    <cellStyle name="标题 4 2 2 3 4 2" xfId="9405"/>
    <cellStyle name="标题 4 2 2 3 5" xfId="4312"/>
    <cellStyle name="标题 4 2 2 4" xfId="1361"/>
    <cellStyle name="标题 4 2 2 4 2" xfId="8558"/>
    <cellStyle name="标题 4 2 2 5" xfId="1362"/>
    <cellStyle name="标题 4 2 2 5 2" xfId="8557"/>
    <cellStyle name="标题 4 2 2 6" xfId="4309"/>
    <cellStyle name="标题 4 2 3" xfId="1363"/>
    <cellStyle name="标题 4 2 3 2" xfId="1364"/>
    <cellStyle name="标题 4 2 3 2 2" xfId="1365"/>
    <cellStyle name="标题 4 2 3 2 2 2" xfId="1366"/>
    <cellStyle name="标题 4 2 3 2 2 2 2" xfId="6239"/>
    <cellStyle name="标题 4 2 3 2 2 3" xfId="1367"/>
    <cellStyle name="标题 4 2 3 2 2 3 2" xfId="5080"/>
    <cellStyle name="标题 4 2 3 2 2 4" xfId="1368"/>
    <cellStyle name="标题 4 2 3 2 2 4 2" xfId="9403"/>
    <cellStyle name="标题 4 2 3 2 2 5" xfId="4315"/>
    <cellStyle name="标题 4 2 3 2 3" xfId="1369"/>
    <cellStyle name="标题 4 2 3 2 3 2" xfId="6240"/>
    <cellStyle name="标题 4 2 3 2 4" xfId="1370"/>
    <cellStyle name="标题 4 2 3 2 4 2" xfId="6241"/>
    <cellStyle name="标题 4 2 3 2 5" xfId="1371"/>
    <cellStyle name="标题 4 2 3 2 5 2" xfId="5081"/>
    <cellStyle name="标题 4 2 3 2 6" xfId="4314"/>
    <cellStyle name="标题 4 2 3 3" xfId="1372"/>
    <cellStyle name="标题 4 2 3 3 2" xfId="1373"/>
    <cellStyle name="标题 4 2 3 3 2 2" xfId="6242"/>
    <cellStyle name="标题 4 2 3 3 3" xfId="1374"/>
    <cellStyle name="标题 4 2 3 3 3 2" xfId="9381"/>
    <cellStyle name="标题 4 2 3 3 4" xfId="1375"/>
    <cellStyle name="标题 4 2 3 3 4 2" xfId="5082"/>
    <cellStyle name="标题 4 2 3 3 5" xfId="4316"/>
    <cellStyle name="标题 4 2 3 4" xfId="1376"/>
    <cellStyle name="标题 4 2 3 4 2" xfId="8556"/>
    <cellStyle name="标题 4 2 3 5" xfId="1377"/>
    <cellStyle name="标题 4 2 3 5 2" xfId="8555"/>
    <cellStyle name="标题 4 2 3 6" xfId="4313"/>
    <cellStyle name="标题 4 2 4" xfId="1378"/>
    <cellStyle name="标题 4 2 4 2" xfId="1379"/>
    <cellStyle name="标题 4 2 4 2 2" xfId="1380"/>
    <cellStyle name="标题 4 2 4 2 2 2" xfId="6246"/>
    <cellStyle name="标题 4 2 4 2 2 3" xfId="6245"/>
    <cellStyle name="标题 4 2 4 2 3" xfId="1381"/>
    <cellStyle name="标题 4 2 4 2 3 2" xfId="6247"/>
    <cellStyle name="标题 4 2 4 2 4" xfId="1382"/>
    <cellStyle name="标题 4 2 4 2 4 2" xfId="6248"/>
    <cellStyle name="标题 4 2 4 2 5" xfId="1383"/>
    <cellStyle name="标题 4 2 4 2 5 2" xfId="9400"/>
    <cellStyle name="标题 4 2 4 2 6" xfId="6244"/>
    <cellStyle name="标题 4 2 4 3" xfId="1384"/>
    <cellStyle name="标题 4 2 4 3 2" xfId="6250"/>
    <cellStyle name="标题 4 2 4 3 3" xfId="6249"/>
    <cellStyle name="标题 4 2 4 4" xfId="1385"/>
    <cellStyle name="标题 4 2 4 4 2" xfId="8554"/>
    <cellStyle name="标题 4 2 4 5" xfId="1386"/>
    <cellStyle name="标题 4 2 4 5 2" xfId="5083"/>
    <cellStyle name="标题 4 2 4 6" xfId="4317"/>
    <cellStyle name="标题 4 2 5" xfId="1387"/>
    <cellStyle name="标题 4 2 5 2" xfId="1388"/>
    <cellStyle name="标题 4 2 5 2 2" xfId="1389"/>
    <cellStyle name="标题 4 2 5 2 2 2" xfId="6253"/>
    <cellStyle name="标题 4 2 5 2 2 3" xfId="6252"/>
    <cellStyle name="标题 4 2 5 2 3" xfId="1390"/>
    <cellStyle name="标题 4 2 5 2 3 2" xfId="6254"/>
    <cellStyle name="标题 4 2 5 2 4" xfId="1391"/>
    <cellStyle name="标题 4 2 5 2 4 2" xfId="6255"/>
    <cellStyle name="标题 4 2 5 2 5" xfId="1392"/>
    <cellStyle name="标题 4 2 5 2 5 2" xfId="9401"/>
    <cellStyle name="标题 4 2 5 2 6" xfId="6251"/>
    <cellStyle name="标题 4 2 5 3" xfId="1393"/>
    <cellStyle name="标题 4 2 5 3 2" xfId="6257"/>
    <cellStyle name="标题 4 2 5 3 3" xfId="6256"/>
    <cellStyle name="标题 4 2 5 4" xfId="1394"/>
    <cellStyle name="标题 4 2 5 4 2" xfId="8553"/>
    <cellStyle name="标题 4 2 5 5" xfId="1395"/>
    <cellStyle name="标题 4 2 5 5 2" xfId="5084"/>
    <cellStyle name="标题 4 2 5 6" xfId="4318"/>
    <cellStyle name="标题 4 2 6" xfId="1396"/>
    <cellStyle name="标题 4 2 6 2" xfId="1397"/>
    <cellStyle name="标题 4 2 6 2 2" xfId="1398"/>
    <cellStyle name="标题 4 2 6 2 2 2" xfId="6261"/>
    <cellStyle name="标题 4 2 6 2 2 3" xfId="6260"/>
    <cellStyle name="标题 4 2 6 2 3" xfId="1399"/>
    <cellStyle name="标题 4 2 6 2 3 2" xfId="6262"/>
    <cellStyle name="标题 4 2 6 2 4" xfId="1400"/>
    <cellStyle name="标题 4 2 6 2 4 2" xfId="6263"/>
    <cellStyle name="标题 4 2 6 2 5" xfId="1401"/>
    <cellStyle name="标题 4 2 6 2 5 2" xfId="9398"/>
    <cellStyle name="标题 4 2 6 2 6" xfId="6259"/>
    <cellStyle name="标题 4 2 6 3" xfId="1402"/>
    <cellStyle name="标题 4 2 6 3 2" xfId="6265"/>
    <cellStyle name="标题 4 2 6 3 3" xfId="6264"/>
    <cellStyle name="标题 4 2 6 4" xfId="1403"/>
    <cellStyle name="标题 4 2 6 4 2" xfId="8552"/>
    <cellStyle name="标题 4 2 6 5" xfId="1404"/>
    <cellStyle name="标题 4 2 6 5 2" xfId="5085"/>
    <cellStyle name="标题 4 2 6 6" xfId="6258"/>
    <cellStyle name="标题 4 2 7" xfId="1405"/>
    <cellStyle name="标题 4 2 7 2" xfId="1406"/>
    <cellStyle name="标题 4 2 7 2 2" xfId="1407"/>
    <cellStyle name="标题 4 2 7 2 2 2" xfId="6269"/>
    <cellStyle name="标题 4 2 7 2 2 3" xfId="6268"/>
    <cellStyle name="标题 4 2 7 2 3" xfId="1408"/>
    <cellStyle name="标题 4 2 7 2 3 2" xfId="6270"/>
    <cellStyle name="标题 4 2 7 2 4" xfId="1409"/>
    <cellStyle name="标题 4 2 7 2 4 2" xfId="6271"/>
    <cellStyle name="标题 4 2 7 2 5" xfId="1410"/>
    <cellStyle name="标题 4 2 7 2 5 2" xfId="9399"/>
    <cellStyle name="标题 4 2 7 2 6" xfId="6267"/>
    <cellStyle name="标题 4 2 7 3" xfId="1411"/>
    <cellStyle name="标题 4 2 7 3 2" xfId="6273"/>
    <cellStyle name="标题 4 2 7 3 3" xfId="6272"/>
    <cellStyle name="标题 4 2 7 4" xfId="1412"/>
    <cellStyle name="标题 4 2 7 4 2" xfId="8551"/>
    <cellStyle name="标题 4 2 7 5" xfId="1413"/>
    <cellStyle name="标题 4 2 7 5 2" xfId="5086"/>
    <cellStyle name="标题 4 2 7 6" xfId="6266"/>
    <cellStyle name="标题 4 2 8" xfId="1414"/>
    <cellStyle name="标题 4 2 8 2" xfId="1415"/>
    <cellStyle name="标题 4 2 8 2 2" xfId="1416"/>
    <cellStyle name="标题 4 2 8 2 2 2" xfId="6277"/>
    <cellStyle name="标题 4 2 8 2 2 3" xfId="6276"/>
    <cellStyle name="标题 4 2 8 2 3" xfId="1417"/>
    <cellStyle name="标题 4 2 8 2 3 2" xfId="6278"/>
    <cellStyle name="标题 4 2 8 2 4" xfId="1418"/>
    <cellStyle name="标题 4 2 8 2 4 2" xfId="6279"/>
    <cellStyle name="标题 4 2 8 2 5" xfId="1419"/>
    <cellStyle name="标题 4 2 8 2 5 2" xfId="9396"/>
    <cellStyle name="标题 4 2 8 2 6" xfId="6275"/>
    <cellStyle name="标题 4 2 8 3" xfId="1420"/>
    <cellStyle name="标题 4 2 8 3 2" xfId="6281"/>
    <cellStyle name="标题 4 2 8 3 3" xfId="6280"/>
    <cellStyle name="标题 4 2 8 4" xfId="1421"/>
    <cellStyle name="标题 4 2 8 4 2" xfId="8550"/>
    <cellStyle name="标题 4 2 8 5" xfId="1422"/>
    <cellStyle name="标题 4 2 8 5 2" xfId="5087"/>
    <cellStyle name="标题 4 2 8 6" xfId="6274"/>
    <cellStyle name="标题 4 2 9" xfId="1423"/>
    <cellStyle name="标题 4 2 9 2" xfId="1424"/>
    <cellStyle name="标题 4 2 9 2 2" xfId="1425"/>
    <cellStyle name="标题 4 2 9 2 2 2" xfId="6285"/>
    <cellStyle name="标题 4 2 9 2 2 3" xfId="6284"/>
    <cellStyle name="标题 4 2 9 2 3" xfId="1426"/>
    <cellStyle name="标题 4 2 9 2 3 2" xfId="6286"/>
    <cellStyle name="标题 4 2 9 2 4" xfId="1427"/>
    <cellStyle name="标题 4 2 9 2 4 2" xfId="6287"/>
    <cellStyle name="标题 4 2 9 2 5" xfId="1428"/>
    <cellStyle name="标题 4 2 9 2 5 2" xfId="9397"/>
    <cellStyle name="标题 4 2 9 2 6" xfId="6283"/>
    <cellStyle name="标题 4 2 9 3" xfId="1429"/>
    <cellStyle name="标题 4 2 9 3 2" xfId="6289"/>
    <cellStyle name="标题 4 2 9 3 3" xfId="6288"/>
    <cellStyle name="标题 4 2 9 4" xfId="1430"/>
    <cellStyle name="标题 4 2 9 4 2" xfId="8549"/>
    <cellStyle name="标题 4 2 9 5" xfId="1431"/>
    <cellStyle name="标题 4 2 9 5 2" xfId="5088"/>
    <cellStyle name="标题 4 2 9 6" xfId="6282"/>
    <cellStyle name="标题 4 3" xfId="1432"/>
    <cellStyle name="标题 4 3 2" xfId="1433"/>
    <cellStyle name="标题 4 3 2 2" xfId="1434"/>
    <cellStyle name="标题 4 3 2 2 2" xfId="5089"/>
    <cellStyle name="标题 4 3 2 3" xfId="4320"/>
    <cellStyle name="标题 4 3 3" xfId="1435"/>
    <cellStyle name="标题 4 3 3 2" xfId="4321"/>
    <cellStyle name="标题 4 3 4" xfId="1436"/>
    <cellStyle name="标题 4 3 4 2" xfId="5090"/>
    <cellStyle name="标题 4 3 5" xfId="4319"/>
    <cellStyle name="标题 4 4" xfId="1437"/>
    <cellStyle name="标题 4 4 2" xfId="4322"/>
    <cellStyle name="标题 4 5" xfId="6202"/>
    <cellStyle name="标题 5" xfId="1438"/>
    <cellStyle name="标题 5 10" xfId="1439"/>
    <cellStyle name="标题 5 10 2" xfId="1440"/>
    <cellStyle name="标题 5 10 2 2" xfId="1441"/>
    <cellStyle name="标题 5 10 2 2 2" xfId="6293"/>
    <cellStyle name="标题 5 10 2 2 3" xfId="6292"/>
    <cellStyle name="标题 5 10 2 3" xfId="1442"/>
    <cellStyle name="标题 5 10 2 3 2" xfId="6294"/>
    <cellStyle name="标题 5 10 2 4" xfId="1443"/>
    <cellStyle name="标题 5 10 2 4 2" xfId="6295"/>
    <cellStyle name="标题 5 10 2 5" xfId="1444"/>
    <cellStyle name="标题 5 10 2 5 2" xfId="9395"/>
    <cellStyle name="标题 5 10 2 6" xfId="6291"/>
    <cellStyle name="标题 5 10 3" xfId="1445"/>
    <cellStyle name="标题 5 10 3 2" xfId="6297"/>
    <cellStyle name="标题 5 10 3 3" xfId="6296"/>
    <cellStyle name="标题 5 10 4" xfId="1446"/>
    <cellStyle name="标题 5 10 4 2" xfId="8547"/>
    <cellStyle name="标题 5 10 5" xfId="1447"/>
    <cellStyle name="标题 5 10 5 2" xfId="5091"/>
    <cellStyle name="标题 5 10 6" xfId="6290"/>
    <cellStyle name="标题 5 11" xfId="1448"/>
    <cellStyle name="标题 5 11 2" xfId="1449"/>
    <cellStyle name="标题 5 11 2 2" xfId="1450"/>
    <cellStyle name="标题 5 11 2 2 2" xfId="6301"/>
    <cellStyle name="标题 5 11 2 2 3" xfId="6300"/>
    <cellStyle name="标题 5 11 2 3" xfId="1451"/>
    <cellStyle name="标题 5 11 2 3 2" xfId="6302"/>
    <cellStyle name="标题 5 11 2 4" xfId="1452"/>
    <cellStyle name="标题 5 11 2 4 2" xfId="6303"/>
    <cellStyle name="标题 5 11 2 5" xfId="1453"/>
    <cellStyle name="标题 5 11 2 5 2" xfId="8648"/>
    <cellStyle name="标题 5 11 2 6" xfId="6299"/>
    <cellStyle name="标题 5 11 3" xfId="1454"/>
    <cellStyle name="标题 5 11 3 2" xfId="6305"/>
    <cellStyle name="标题 5 11 3 3" xfId="6304"/>
    <cellStyle name="标题 5 11 4" xfId="1455"/>
    <cellStyle name="标题 5 11 4 2" xfId="8546"/>
    <cellStyle name="标题 5 11 5" xfId="1456"/>
    <cellStyle name="标题 5 11 5 2" xfId="5092"/>
    <cellStyle name="标题 5 11 6" xfId="6298"/>
    <cellStyle name="标题 5 12" xfId="1457"/>
    <cellStyle name="标题 5 12 2" xfId="1458"/>
    <cellStyle name="标题 5 12 2 2" xfId="1459"/>
    <cellStyle name="标题 5 12 2 2 2" xfId="6309"/>
    <cellStyle name="标题 5 12 2 2 3" xfId="6308"/>
    <cellStyle name="标题 5 12 2 3" xfId="1460"/>
    <cellStyle name="标题 5 12 2 3 2" xfId="6310"/>
    <cellStyle name="标题 5 12 2 4" xfId="1461"/>
    <cellStyle name="标题 5 12 2 4 2" xfId="6311"/>
    <cellStyle name="标题 5 12 2 5" xfId="1462"/>
    <cellStyle name="标题 5 12 2 5 2" xfId="9394"/>
    <cellStyle name="标题 5 12 2 6" xfId="6307"/>
    <cellStyle name="标题 5 12 3" xfId="1463"/>
    <cellStyle name="标题 5 12 3 2" xfId="6313"/>
    <cellStyle name="标题 5 12 3 3" xfId="6312"/>
    <cellStyle name="标题 5 12 4" xfId="1464"/>
    <cellStyle name="标题 5 12 4 2" xfId="8545"/>
    <cellStyle name="标题 5 12 5" xfId="1465"/>
    <cellStyle name="标题 5 12 5 2" xfId="5093"/>
    <cellStyle name="标题 5 12 6" xfId="6306"/>
    <cellStyle name="标题 5 13" xfId="1466"/>
    <cellStyle name="标题 5 13 2" xfId="1467"/>
    <cellStyle name="标题 5 13 2 2" xfId="6316"/>
    <cellStyle name="标题 5 13 2 3" xfId="6315"/>
    <cellStyle name="标题 5 13 3" xfId="1468"/>
    <cellStyle name="标题 5 13 3 2" xfId="6317"/>
    <cellStyle name="标题 5 13 4" xfId="1469"/>
    <cellStyle name="标题 5 13 4 2" xfId="6318"/>
    <cellStyle name="标题 5 13 5" xfId="1470"/>
    <cellStyle name="标题 5 13 5 2" xfId="5094"/>
    <cellStyle name="标题 5 13 6" xfId="6314"/>
    <cellStyle name="标题 5 14" xfId="1471"/>
    <cellStyle name="标题 5 14 2" xfId="1472"/>
    <cellStyle name="标题 5 14 2 2" xfId="6320"/>
    <cellStyle name="标题 5 14 3" xfId="6319"/>
    <cellStyle name="标题 5 15" xfId="1473"/>
    <cellStyle name="标题 5 15 2" xfId="8544"/>
    <cellStyle name="标题 5 16" xfId="1474"/>
    <cellStyle name="标题 5 16 2" xfId="5095"/>
    <cellStyle name="标题 5 17" xfId="4323"/>
    <cellStyle name="标题 5 2" xfId="1475"/>
    <cellStyle name="标题 5 2 2" xfId="1476"/>
    <cellStyle name="标题 5 2 2 2" xfId="1477"/>
    <cellStyle name="标题 5 2 2 2 2" xfId="1478"/>
    <cellStyle name="标题 5 2 2 2 2 2" xfId="6324"/>
    <cellStyle name="标题 5 2 2 2 3" xfId="1479"/>
    <cellStyle name="标题 5 2 2 2 3 2" xfId="5096"/>
    <cellStyle name="标题 5 2 2 2 4" xfId="1480"/>
    <cellStyle name="标题 5 2 2 2 4 2" xfId="9391"/>
    <cellStyle name="标题 5 2 2 2 5" xfId="4326"/>
    <cellStyle name="标题 5 2 2 3" xfId="1481"/>
    <cellStyle name="标题 5 2 2 3 2" xfId="6325"/>
    <cellStyle name="标题 5 2 2 4" xfId="1482"/>
    <cellStyle name="标题 5 2 2 4 2" xfId="6326"/>
    <cellStyle name="标题 5 2 2 5" xfId="1483"/>
    <cellStyle name="标题 5 2 2 5 2" xfId="5097"/>
    <cellStyle name="标题 5 2 2 6" xfId="4325"/>
    <cellStyle name="标题 5 2 3" xfId="1484"/>
    <cellStyle name="标题 5 2 3 2" xfId="1485"/>
    <cellStyle name="标题 5 2 3 2 2" xfId="6328"/>
    <cellStyle name="标题 5 2 3 3" xfId="1486"/>
    <cellStyle name="标题 5 2 3 3 2" xfId="9392"/>
    <cellStyle name="标题 5 2 3 4" xfId="1487"/>
    <cellStyle name="标题 5 2 3 4 2" xfId="9393"/>
    <cellStyle name="标题 5 2 3 5" xfId="4327"/>
    <cellStyle name="标题 5 2 4" xfId="1488"/>
    <cellStyle name="标题 5 2 4 2" xfId="8543"/>
    <cellStyle name="标题 5 2 5" xfId="1489"/>
    <cellStyle name="标题 5 2 5 2" xfId="8542"/>
    <cellStyle name="标题 5 2 6" xfId="4324"/>
    <cellStyle name="标题 5 3" xfId="1490"/>
    <cellStyle name="标题 5 3 2" xfId="1491"/>
    <cellStyle name="标题 5 3 2 2" xfId="1492"/>
    <cellStyle name="标题 5 3 2 2 2" xfId="1493"/>
    <cellStyle name="标题 5 3 2 2 2 2" xfId="6332"/>
    <cellStyle name="标题 5 3 2 2 3" xfId="1494"/>
    <cellStyle name="标题 5 3 2 2 3 2" xfId="9767"/>
    <cellStyle name="标题 5 3 2 2 4" xfId="1495"/>
    <cellStyle name="标题 5 3 2 2 4 2" xfId="5098"/>
    <cellStyle name="标题 5 3 2 2 5" xfId="4330"/>
    <cellStyle name="标题 5 3 2 3" xfId="1496"/>
    <cellStyle name="标题 5 3 2 3 2" xfId="6333"/>
    <cellStyle name="标题 5 3 2 4" xfId="1497"/>
    <cellStyle name="标题 5 3 2 4 2" xfId="6334"/>
    <cellStyle name="标题 5 3 2 5" xfId="1498"/>
    <cellStyle name="标题 5 3 2 5 2" xfId="5099"/>
    <cellStyle name="标题 5 3 2 6" xfId="4329"/>
    <cellStyle name="标题 5 3 3" xfId="1499"/>
    <cellStyle name="标题 5 3 3 2" xfId="1500"/>
    <cellStyle name="标题 5 3 3 2 2" xfId="6335"/>
    <cellStyle name="标题 5 3 3 3" xfId="1501"/>
    <cellStyle name="标题 5 3 3 3 2" xfId="5100"/>
    <cellStyle name="标题 5 3 3 4" xfId="1502"/>
    <cellStyle name="标题 5 3 3 4 2" xfId="9390"/>
    <cellStyle name="标题 5 3 3 5" xfId="4331"/>
    <cellStyle name="标题 5 3 4" xfId="1503"/>
    <cellStyle name="标题 5 3 4 2" xfId="8541"/>
    <cellStyle name="标题 5 3 5" xfId="1504"/>
    <cellStyle name="标题 5 3 5 2" xfId="8540"/>
    <cellStyle name="标题 5 3 6" xfId="4328"/>
    <cellStyle name="标题 5 4" xfId="1505"/>
    <cellStyle name="标题 5 4 2" xfId="1506"/>
    <cellStyle name="标题 5 4 2 2" xfId="1507"/>
    <cellStyle name="标题 5 4 2 2 2" xfId="6339"/>
    <cellStyle name="标题 5 4 2 2 3" xfId="6338"/>
    <cellStyle name="标题 5 4 2 3" xfId="1508"/>
    <cellStyle name="标题 5 4 2 3 2" xfId="6340"/>
    <cellStyle name="标题 5 4 2 4" xfId="1509"/>
    <cellStyle name="标题 5 4 2 4 2" xfId="6341"/>
    <cellStyle name="标题 5 4 2 5" xfId="1510"/>
    <cellStyle name="标题 5 4 2 5 2" xfId="5101"/>
    <cellStyle name="标题 5 4 2 6" xfId="6337"/>
    <cellStyle name="标题 5 4 3" xfId="1511"/>
    <cellStyle name="标题 5 4 3 2" xfId="6343"/>
    <cellStyle name="标题 5 4 3 3" xfId="6342"/>
    <cellStyle name="标题 5 4 4" xfId="1512"/>
    <cellStyle name="标题 5 4 4 2" xfId="8539"/>
    <cellStyle name="标题 5 4 5" xfId="1513"/>
    <cellStyle name="标题 5 4 5 2" xfId="8638"/>
    <cellStyle name="标题 5 4 6" xfId="4332"/>
    <cellStyle name="标题 5 5" xfId="1514"/>
    <cellStyle name="标题 5 5 2" xfId="1515"/>
    <cellStyle name="标题 5 5 2 2" xfId="1516"/>
    <cellStyle name="标题 5 5 2 2 2" xfId="6347"/>
    <cellStyle name="标题 5 5 2 2 3" xfId="6346"/>
    <cellStyle name="标题 5 5 2 3" xfId="1517"/>
    <cellStyle name="标题 5 5 2 3 2" xfId="6348"/>
    <cellStyle name="标题 5 5 2 4" xfId="1518"/>
    <cellStyle name="标题 5 5 2 4 2" xfId="6349"/>
    <cellStyle name="标题 5 5 2 5" xfId="1519"/>
    <cellStyle name="标题 5 5 2 5 2" xfId="9768"/>
    <cellStyle name="标题 5 5 2 6" xfId="6345"/>
    <cellStyle name="标题 5 5 3" xfId="1520"/>
    <cellStyle name="标题 5 5 3 2" xfId="6351"/>
    <cellStyle name="标题 5 5 3 3" xfId="6350"/>
    <cellStyle name="标题 5 5 4" xfId="1521"/>
    <cellStyle name="标题 5 5 4 2" xfId="8538"/>
    <cellStyle name="标题 5 5 5" xfId="1522"/>
    <cellStyle name="标题 5 5 5 2" xfId="8637"/>
    <cellStyle name="标题 5 5 6" xfId="4333"/>
    <cellStyle name="标题 5 6" xfId="1523"/>
    <cellStyle name="标题 5 6 2" xfId="1524"/>
    <cellStyle name="标题 5 6 2 2" xfId="1525"/>
    <cellStyle name="标题 5 6 2 2 2" xfId="6355"/>
    <cellStyle name="标题 5 6 2 2 3" xfId="6354"/>
    <cellStyle name="标题 5 6 2 3" xfId="1526"/>
    <cellStyle name="标题 5 6 2 3 2" xfId="6356"/>
    <cellStyle name="标题 5 6 2 4" xfId="1527"/>
    <cellStyle name="标题 5 6 2 4 2" xfId="6357"/>
    <cellStyle name="标题 5 6 2 5" xfId="1528"/>
    <cellStyle name="标题 5 6 2 5 2" xfId="5102"/>
    <cellStyle name="标题 5 6 2 6" xfId="6353"/>
    <cellStyle name="标题 5 6 3" xfId="1529"/>
    <cellStyle name="标题 5 6 3 2" xfId="6359"/>
    <cellStyle name="标题 5 6 3 3" xfId="6358"/>
    <cellStyle name="标题 5 6 4" xfId="1530"/>
    <cellStyle name="标题 5 6 4 2" xfId="8537"/>
    <cellStyle name="标题 5 6 5" xfId="1531"/>
    <cellStyle name="标题 5 6 5 2" xfId="9389"/>
    <cellStyle name="标题 5 6 6" xfId="6352"/>
    <cellStyle name="标题 5 7" xfId="1532"/>
    <cellStyle name="标题 5 7 2" xfId="1533"/>
    <cellStyle name="标题 5 7 2 2" xfId="1534"/>
    <cellStyle name="标题 5 7 2 2 2" xfId="6363"/>
    <cellStyle name="标题 5 7 2 2 3" xfId="6362"/>
    <cellStyle name="标题 5 7 2 3" xfId="1535"/>
    <cellStyle name="标题 5 7 2 3 2" xfId="6364"/>
    <cellStyle name="标题 5 7 2 4" xfId="1536"/>
    <cellStyle name="标题 5 7 2 4 2" xfId="6365"/>
    <cellStyle name="标题 5 7 2 5" xfId="1537"/>
    <cellStyle name="标题 5 7 2 5 2" xfId="8636"/>
    <cellStyle name="标题 5 7 2 6" xfId="6361"/>
    <cellStyle name="标题 5 7 3" xfId="1538"/>
    <cellStyle name="标题 5 7 3 2" xfId="6367"/>
    <cellStyle name="标题 5 7 3 3" xfId="6366"/>
    <cellStyle name="标题 5 7 4" xfId="1539"/>
    <cellStyle name="标题 5 7 4 2" xfId="8536"/>
    <cellStyle name="标题 5 7 5" xfId="1540"/>
    <cellStyle name="标题 5 7 5 2" xfId="5103"/>
    <cellStyle name="标题 5 7 6" xfId="6360"/>
    <cellStyle name="标题 5 8" xfId="1541"/>
    <cellStyle name="标题 5 8 2" xfId="1542"/>
    <cellStyle name="标题 5 8 2 2" xfId="1543"/>
    <cellStyle name="标题 5 8 2 2 2" xfId="6371"/>
    <cellStyle name="标题 5 8 2 2 3" xfId="6370"/>
    <cellStyle name="标题 5 8 2 3" xfId="1544"/>
    <cellStyle name="标题 5 8 2 3 2" xfId="6372"/>
    <cellStyle name="标题 5 8 2 4" xfId="1545"/>
    <cellStyle name="标题 5 8 2 4 2" xfId="6373"/>
    <cellStyle name="标题 5 8 2 5" xfId="1546"/>
    <cellStyle name="标题 5 8 2 5 2" xfId="9388"/>
    <cellStyle name="标题 5 8 2 6" xfId="6369"/>
    <cellStyle name="标题 5 8 3" xfId="1547"/>
    <cellStyle name="标题 5 8 3 2" xfId="6375"/>
    <cellStyle name="标题 5 8 3 3" xfId="6374"/>
    <cellStyle name="标题 5 8 4" xfId="1548"/>
    <cellStyle name="标题 5 8 4 2" xfId="8535"/>
    <cellStyle name="标题 5 8 5" xfId="1549"/>
    <cellStyle name="标题 5 8 5 2" xfId="9386"/>
    <cellStyle name="标题 5 8 6" xfId="6368"/>
    <cellStyle name="标题 5 9" xfId="1550"/>
    <cellStyle name="标题 5 9 2" xfId="1551"/>
    <cellStyle name="标题 5 9 2 2" xfId="1552"/>
    <cellStyle name="标题 5 9 2 2 2" xfId="6379"/>
    <cellStyle name="标题 5 9 2 2 3" xfId="6378"/>
    <cellStyle name="标题 5 9 2 3" xfId="1553"/>
    <cellStyle name="标题 5 9 2 3 2" xfId="6380"/>
    <cellStyle name="标题 5 9 2 4" xfId="1554"/>
    <cellStyle name="标题 5 9 2 4 2" xfId="6381"/>
    <cellStyle name="标题 5 9 2 5" xfId="1555"/>
    <cellStyle name="标题 5 9 2 5 2" xfId="9387"/>
    <cellStyle name="标题 5 9 2 6" xfId="6377"/>
    <cellStyle name="标题 5 9 3" xfId="1556"/>
    <cellStyle name="标题 5 9 3 2" xfId="6383"/>
    <cellStyle name="标题 5 9 3 3" xfId="6382"/>
    <cellStyle name="标题 5 9 4" xfId="1557"/>
    <cellStyle name="标题 5 9 4 2" xfId="8534"/>
    <cellStyle name="标题 5 9 5" xfId="1558"/>
    <cellStyle name="标题 5 9 5 2" xfId="5104"/>
    <cellStyle name="标题 5 9 6" xfId="6376"/>
    <cellStyle name="标题 6" xfId="1559"/>
    <cellStyle name="标题 6 2" xfId="1560"/>
    <cellStyle name="标题 6 2 2" xfId="1561"/>
    <cellStyle name="标题 6 2 2 2" xfId="9769"/>
    <cellStyle name="标题 6 2 3" xfId="4335"/>
    <cellStyle name="标题 6 3" xfId="1562"/>
    <cellStyle name="标题 6 3 2" xfId="4336"/>
    <cellStyle name="标题 6 4" xfId="1563"/>
    <cellStyle name="标题 6 4 2" xfId="9385"/>
    <cellStyle name="标题 6 5" xfId="4334"/>
    <cellStyle name="标题 7" xfId="1564"/>
    <cellStyle name="标题 7 2" xfId="4337"/>
    <cellStyle name="标题 8" xfId="5922"/>
    <cellStyle name="差 2" xfId="1565"/>
    <cellStyle name="差 2 10" xfId="1566"/>
    <cellStyle name="差 2 10 2" xfId="1567"/>
    <cellStyle name="差 2 10 2 2" xfId="1568"/>
    <cellStyle name="差 2 10 2 2 2" xfId="6388"/>
    <cellStyle name="差 2 10 2 2 3" xfId="6387"/>
    <cellStyle name="差 2 10 2 3" xfId="1569"/>
    <cellStyle name="差 2 10 2 3 2" xfId="6389"/>
    <cellStyle name="差 2 10 2 4" xfId="1570"/>
    <cellStyle name="差 2 10 2 4 2" xfId="6390"/>
    <cellStyle name="差 2 10 2 5" xfId="1571"/>
    <cellStyle name="差 2 10 2 5 2" xfId="5105"/>
    <cellStyle name="差 2 10 2 6" xfId="6386"/>
    <cellStyle name="差 2 10 3" xfId="1572"/>
    <cellStyle name="差 2 10 3 2" xfId="6392"/>
    <cellStyle name="差 2 10 3 3" xfId="6391"/>
    <cellStyle name="差 2 10 4" xfId="1573"/>
    <cellStyle name="差 2 10 4 2" xfId="8532"/>
    <cellStyle name="差 2 10 5" xfId="1574"/>
    <cellStyle name="差 2 10 5 2" xfId="5106"/>
    <cellStyle name="差 2 10 6" xfId="6385"/>
    <cellStyle name="差 2 11" xfId="1575"/>
    <cellStyle name="差 2 11 2" xfId="1576"/>
    <cellStyle name="差 2 11 2 2" xfId="1577"/>
    <cellStyle name="差 2 11 2 2 2" xfId="6396"/>
    <cellStyle name="差 2 11 2 2 3" xfId="6395"/>
    <cellStyle name="差 2 11 2 3" xfId="1578"/>
    <cellStyle name="差 2 11 2 3 2" xfId="6397"/>
    <cellStyle name="差 2 11 2 4" xfId="1579"/>
    <cellStyle name="差 2 11 2 4 2" xfId="6398"/>
    <cellStyle name="差 2 11 2 5" xfId="1580"/>
    <cellStyle name="差 2 11 2 5 2" xfId="5107"/>
    <cellStyle name="差 2 11 2 6" xfId="6394"/>
    <cellStyle name="差 2 11 3" xfId="1581"/>
    <cellStyle name="差 2 11 3 2" xfId="6400"/>
    <cellStyle name="差 2 11 3 3" xfId="6399"/>
    <cellStyle name="差 2 11 4" xfId="1582"/>
    <cellStyle name="差 2 11 4 2" xfId="8531"/>
    <cellStyle name="差 2 11 5" xfId="1583"/>
    <cellStyle name="差 2 11 5 2" xfId="5108"/>
    <cellStyle name="差 2 11 6" xfId="6393"/>
    <cellStyle name="差 2 12" xfId="1584"/>
    <cellStyle name="差 2 12 2" xfId="1585"/>
    <cellStyle name="差 2 12 2 2" xfId="1586"/>
    <cellStyle name="差 2 12 2 2 2" xfId="6404"/>
    <cellStyle name="差 2 12 2 2 3" xfId="6403"/>
    <cellStyle name="差 2 12 2 3" xfId="1587"/>
    <cellStyle name="差 2 12 2 3 2" xfId="6405"/>
    <cellStyle name="差 2 12 2 4" xfId="1588"/>
    <cellStyle name="差 2 12 2 4 2" xfId="6406"/>
    <cellStyle name="差 2 12 2 5" xfId="1589"/>
    <cellStyle name="差 2 12 2 5 2" xfId="5109"/>
    <cellStyle name="差 2 12 2 6" xfId="6402"/>
    <cellStyle name="差 2 12 3" xfId="1590"/>
    <cellStyle name="差 2 12 3 2" xfId="6408"/>
    <cellStyle name="差 2 12 3 3" xfId="6407"/>
    <cellStyle name="差 2 12 4" xfId="1591"/>
    <cellStyle name="差 2 12 4 2" xfId="8530"/>
    <cellStyle name="差 2 12 5" xfId="1592"/>
    <cellStyle name="差 2 12 5 2" xfId="5110"/>
    <cellStyle name="差 2 12 6" xfId="6401"/>
    <cellStyle name="差 2 13" xfId="1593"/>
    <cellStyle name="差 2 13 2" xfId="1594"/>
    <cellStyle name="差 2 13 2 2" xfId="6411"/>
    <cellStyle name="差 2 13 2 3" xfId="6410"/>
    <cellStyle name="差 2 13 3" xfId="1595"/>
    <cellStyle name="差 2 13 3 2" xfId="6412"/>
    <cellStyle name="差 2 13 4" xfId="1596"/>
    <cellStyle name="差 2 13 4 2" xfId="6413"/>
    <cellStyle name="差 2 13 5" xfId="1597"/>
    <cellStyle name="差 2 13 5 2" xfId="9770"/>
    <cellStyle name="差 2 13 6" xfId="6409"/>
    <cellStyle name="差 2 13 7" xfId="8529"/>
    <cellStyle name="差 2 14" xfId="1598"/>
    <cellStyle name="差 2 14 2" xfId="1599"/>
    <cellStyle name="差 2 14 2 2" xfId="6415"/>
    <cellStyle name="差 2 14 3" xfId="6414"/>
    <cellStyle name="差 2 15" xfId="1600"/>
    <cellStyle name="差 2 15 2" xfId="8528"/>
    <cellStyle name="差 2 16" xfId="1601"/>
    <cellStyle name="差 2 16 2" xfId="5111"/>
    <cellStyle name="差 2 17" xfId="1602"/>
    <cellStyle name="差 2 17 2" xfId="9382"/>
    <cellStyle name="差 2 18" xfId="1603"/>
    <cellStyle name="差 2 18 2" xfId="5112"/>
    <cellStyle name="差 2 19" xfId="4338"/>
    <cellStyle name="差 2 19 2" xfId="6384"/>
    <cellStyle name="差 2 2" xfId="1604"/>
    <cellStyle name="差 2 2 2" xfId="1605"/>
    <cellStyle name="差 2 2 2 2" xfId="1606"/>
    <cellStyle name="差 2 2 2 2 2" xfId="1607"/>
    <cellStyle name="差 2 2 2 2 2 2" xfId="6419"/>
    <cellStyle name="差 2 2 2 2 3" xfId="1608"/>
    <cellStyle name="差 2 2 2 2 3 2" xfId="9383"/>
    <cellStyle name="差 2 2 2 2 4" xfId="1609"/>
    <cellStyle name="差 2 2 2 2 4 2" xfId="9384"/>
    <cellStyle name="差 2 2 2 2 5" xfId="4341"/>
    <cellStyle name="差 2 2 2 2 5 2" xfId="6418"/>
    <cellStyle name="差 2 2 2 2 6" xfId="8526"/>
    <cellStyle name="差 2 2 2 3" xfId="1610"/>
    <cellStyle name="差 2 2 2 3 2" xfId="6420"/>
    <cellStyle name="差 2 2 2 4" xfId="1611"/>
    <cellStyle name="差 2 2 2 4 2" xfId="6421"/>
    <cellStyle name="差 2 2 2 5" xfId="1612"/>
    <cellStyle name="差 2 2 2 5 2" xfId="5113"/>
    <cellStyle name="差 2 2 2 6" xfId="1613"/>
    <cellStyle name="差 2 2 2 6 2" xfId="5114"/>
    <cellStyle name="差 2 2 2 7" xfId="1614"/>
    <cellStyle name="差 2 2 2 7 2" xfId="9317"/>
    <cellStyle name="差 2 2 2 8" xfId="4340"/>
    <cellStyle name="差 2 2 2 8 2" xfId="6417"/>
    <cellStyle name="差 2 2 2 9" xfId="8527"/>
    <cellStyle name="差 2 2 3" xfId="1615"/>
    <cellStyle name="差 2 2 3 2" xfId="1616"/>
    <cellStyle name="差 2 2 3 2 2" xfId="6423"/>
    <cellStyle name="差 2 2 3 3" xfId="1617"/>
    <cellStyle name="差 2 2 3 3 2" xfId="5115"/>
    <cellStyle name="差 2 2 3 4" xfId="1618"/>
    <cellStyle name="差 2 2 3 4 2" xfId="5116"/>
    <cellStyle name="差 2 2 3 5" xfId="4342"/>
    <cellStyle name="差 2 2 3 5 2" xfId="6422"/>
    <cellStyle name="差 2 2 3 6" xfId="8525"/>
    <cellStyle name="差 2 2 4" xfId="1619"/>
    <cellStyle name="差 2 2 4 2" xfId="8524"/>
    <cellStyle name="差 2 2 4 3" xfId="9771"/>
    <cellStyle name="差 2 2 5" xfId="1620"/>
    <cellStyle name="差 2 2 5 2" xfId="8523"/>
    <cellStyle name="差 2 2 6" xfId="1621"/>
    <cellStyle name="差 2 2 6 2" xfId="8522"/>
    <cellStyle name="差 2 2 7" xfId="1622"/>
    <cellStyle name="差 2 2 7 2" xfId="8626"/>
    <cellStyle name="差 2 2 8" xfId="4339"/>
    <cellStyle name="差 2 2 8 2" xfId="6416"/>
    <cellStyle name="差 2 3" xfId="1623"/>
    <cellStyle name="差 2 3 2" xfId="1624"/>
    <cellStyle name="差 2 3 2 2" xfId="1625"/>
    <cellStyle name="差 2 3 2 2 2" xfId="1626"/>
    <cellStyle name="差 2 3 2 2 2 2" xfId="6427"/>
    <cellStyle name="差 2 3 2 2 3" xfId="1627"/>
    <cellStyle name="差 2 3 2 2 3 2" xfId="9379"/>
    <cellStyle name="差 2 3 2 2 4" xfId="1628"/>
    <cellStyle name="差 2 3 2 2 4 2" xfId="9380"/>
    <cellStyle name="差 2 3 2 2 5" xfId="4345"/>
    <cellStyle name="差 2 3 2 2 5 2" xfId="6426"/>
    <cellStyle name="差 2 3 2 2 6" xfId="8520"/>
    <cellStyle name="差 2 3 2 3" xfId="1629"/>
    <cellStyle name="差 2 3 2 3 2" xfId="6428"/>
    <cellStyle name="差 2 3 2 4" xfId="1630"/>
    <cellStyle name="差 2 3 2 4 2" xfId="6429"/>
    <cellStyle name="差 2 3 2 5" xfId="1631"/>
    <cellStyle name="差 2 3 2 5 2" xfId="5117"/>
    <cellStyle name="差 2 3 2 6" xfId="1632"/>
    <cellStyle name="差 2 3 2 6 2" xfId="9378"/>
    <cellStyle name="差 2 3 2 7" xfId="1633"/>
    <cellStyle name="差 2 3 2 7 2" xfId="5118"/>
    <cellStyle name="差 2 3 2 8" xfId="4344"/>
    <cellStyle name="差 2 3 2 8 2" xfId="6425"/>
    <cellStyle name="差 2 3 2 9" xfId="8521"/>
    <cellStyle name="差 2 3 3" xfId="1634"/>
    <cellStyle name="差 2 3 3 2" xfId="1635"/>
    <cellStyle name="差 2 3 3 2 2" xfId="6431"/>
    <cellStyle name="差 2 3 3 3" xfId="1636"/>
    <cellStyle name="差 2 3 3 3 2" xfId="9376"/>
    <cellStyle name="差 2 3 3 4" xfId="1637"/>
    <cellStyle name="差 2 3 3 4 2" xfId="9377"/>
    <cellStyle name="差 2 3 3 5" xfId="4346"/>
    <cellStyle name="差 2 3 3 5 2" xfId="6430"/>
    <cellStyle name="差 2 3 3 6" xfId="8519"/>
    <cellStyle name="差 2 3 4" xfId="1638"/>
    <cellStyle name="差 2 3 4 2" xfId="8518"/>
    <cellStyle name="差 2 3 4 3" xfId="5917"/>
    <cellStyle name="差 2 3 5" xfId="1639"/>
    <cellStyle name="差 2 3 5 2" xfId="8517"/>
    <cellStyle name="差 2 3 6" xfId="1640"/>
    <cellStyle name="差 2 3 6 2" xfId="8516"/>
    <cellStyle name="差 2 3 7" xfId="1641"/>
    <cellStyle name="差 2 3 7 2" xfId="9373"/>
    <cellStyle name="差 2 3 8" xfId="4343"/>
    <cellStyle name="差 2 3 8 2" xfId="6424"/>
    <cellStyle name="差 2 4" xfId="1642"/>
    <cellStyle name="差 2 4 2" xfId="1643"/>
    <cellStyle name="差 2 4 2 2" xfId="1644"/>
    <cellStyle name="差 2 4 2 2 2" xfId="6435"/>
    <cellStyle name="差 2 4 2 2 3" xfId="6434"/>
    <cellStyle name="差 2 4 2 3" xfId="1645"/>
    <cellStyle name="差 2 4 2 3 2" xfId="6436"/>
    <cellStyle name="差 2 4 2 4" xfId="1646"/>
    <cellStyle name="差 2 4 2 4 2" xfId="6437"/>
    <cellStyle name="差 2 4 2 5" xfId="1647"/>
    <cellStyle name="差 2 4 2 5 2" xfId="5119"/>
    <cellStyle name="差 2 4 2 6" xfId="6433"/>
    <cellStyle name="差 2 4 2 7" xfId="8515"/>
    <cellStyle name="差 2 4 3" xfId="1648"/>
    <cellStyle name="差 2 4 3 2" xfId="6439"/>
    <cellStyle name="差 2 4 3 3" xfId="6438"/>
    <cellStyle name="差 2 4 4" xfId="1649"/>
    <cellStyle name="差 2 4 4 2" xfId="8514"/>
    <cellStyle name="差 2 4 5" xfId="1650"/>
    <cellStyle name="差 2 4 5 2" xfId="9375"/>
    <cellStyle name="差 2 4 6" xfId="1651"/>
    <cellStyle name="差 2 4 6 2" xfId="5120"/>
    <cellStyle name="差 2 4 7" xfId="1652"/>
    <cellStyle name="差 2 4 7 2" xfId="9374"/>
    <cellStyle name="差 2 4 8" xfId="4347"/>
    <cellStyle name="差 2 4 8 2" xfId="6432"/>
    <cellStyle name="差 2 5" xfId="1653"/>
    <cellStyle name="差 2 5 2" xfId="1654"/>
    <cellStyle name="差 2 5 2 2" xfId="1655"/>
    <cellStyle name="差 2 5 2 2 2" xfId="6443"/>
    <cellStyle name="差 2 5 2 2 3" xfId="6442"/>
    <cellStyle name="差 2 5 2 3" xfId="1656"/>
    <cellStyle name="差 2 5 2 3 2" xfId="6444"/>
    <cellStyle name="差 2 5 2 4" xfId="1657"/>
    <cellStyle name="差 2 5 2 4 2" xfId="6445"/>
    <cellStyle name="差 2 5 2 5" xfId="1658"/>
    <cellStyle name="差 2 5 2 5 2" xfId="5121"/>
    <cellStyle name="差 2 5 2 6" xfId="6441"/>
    <cellStyle name="差 2 5 3" xfId="1659"/>
    <cellStyle name="差 2 5 3 2" xfId="6447"/>
    <cellStyle name="差 2 5 3 3" xfId="6446"/>
    <cellStyle name="差 2 5 4" xfId="1660"/>
    <cellStyle name="差 2 5 4 2" xfId="8513"/>
    <cellStyle name="差 2 5 5" xfId="1661"/>
    <cellStyle name="差 2 5 5 2" xfId="9772"/>
    <cellStyle name="差 2 5 6" xfId="4348"/>
    <cellStyle name="差 2 5 6 2" xfId="6440"/>
    <cellStyle name="差 2 6" xfId="1662"/>
    <cellStyle name="差 2 6 2" xfId="1663"/>
    <cellStyle name="差 2 6 2 2" xfId="1664"/>
    <cellStyle name="差 2 6 2 2 2" xfId="6451"/>
    <cellStyle name="差 2 6 2 2 3" xfId="6450"/>
    <cellStyle name="差 2 6 2 3" xfId="1665"/>
    <cellStyle name="差 2 6 2 3 2" xfId="6452"/>
    <cellStyle name="差 2 6 2 4" xfId="1666"/>
    <cellStyle name="差 2 6 2 4 2" xfId="6453"/>
    <cellStyle name="差 2 6 2 5" xfId="1667"/>
    <cellStyle name="差 2 6 2 5 2" xfId="5122"/>
    <cellStyle name="差 2 6 2 6" xfId="6449"/>
    <cellStyle name="差 2 6 3" xfId="1668"/>
    <cellStyle name="差 2 6 3 2" xfId="6455"/>
    <cellStyle name="差 2 6 3 3" xfId="6454"/>
    <cellStyle name="差 2 6 4" xfId="1669"/>
    <cellStyle name="差 2 6 4 2" xfId="8512"/>
    <cellStyle name="差 2 6 5" xfId="1670"/>
    <cellStyle name="差 2 6 5 2" xfId="9372"/>
    <cellStyle name="差 2 6 6" xfId="6448"/>
    <cellStyle name="差 2 7" xfId="1671"/>
    <cellStyle name="差 2 7 2" xfId="1672"/>
    <cellStyle name="差 2 7 2 2" xfId="1673"/>
    <cellStyle name="差 2 7 2 2 2" xfId="6459"/>
    <cellStyle name="差 2 7 2 2 3" xfId="6458"/>
    <cellStyle name="差 2 7 2 3" xfId="1674"/>
    <cellStyle name="差 2 7 2 3 2" xfId="6460"/>
    <cellStyle name="差 2 7 2 4" xfId="1675"/>
    <cellStyle name="差 2 7 2 4 2" xfId="6461"/>
    <cellStyle name="差 2 7 2 5" xfId="1676"/>
    <cellStyle name="差 2 7 2 5 2" xfId="5123"/>
    <cellStyle name="差 2 7 2 6" xfId="6457"/>
    <cellStyle name="差 2 7 3" xfId="1677"/>
    <cellStyle name="差 2 7 3 2" xfId="6463"/>
    <cellStyle name="差 2 7 3 3" xfId="6462"/>
    <cellStyle name="差 2 7 4" xfId="1678"/>
    <cellStyle name="差 2 7 4 2" xfId="8511"/>
    <cellStyle name="差 2 7 5" xfId="1679"/>
    <cellStyle name="差 2 7 5 2" xfId="9773"/>
    <cellStyle name="差 2 7 6" xfId="6456"/>
    <cellStyle name="差 2 8" xfId="1680"/>
    <cellStyle name="差 2 8 2" xfId="1681"/>
    <cellStyle name="差 2 8 2 2" xfId="1682"/>
    <cellStyle name="差 2 8 2 2 2" xfId="6467"/>
    <cellStyle name="差 2 8 2 2 3" xfId="6466"/>
    <cellStyle name="差 2 8 2 3" xfId="1683"/>
    <cellStyle name="差 2 8 2 3 2" xfId="6468"/>
    <cellStyle name="差 2 8 2 4" xfId="1684"/>
    <cellStyle name="差 2 8 2 4 2" xfId="6469"/>
    <cellStyle name="差 2 8 2 5" xfId="1685"/>
    <cellStyle name="差 2 8 2 5 2" xfId="5124"/>
    <cellStyle name="差 2 8 2 6" xfId="6465"/>
    <cellStyle name="差 2 8 3" xfId="1686"/>
    <cellStyle name="差 2 8 3 2" xfId="6471"/>
    <cellStyle name="差 2 8 3 3" xfId="6470"/>
    <cellStyle name="差 2 8 4" xfId="1687"/>
    <cellStyle name="差 2 8 4 2" xfId="8510"/>
    <cellStyle name="差 2 8 5" xfId="1688"/>
    <cellStyle name="差 2 8 5 2" xfId="9371"/>
    <cellStyle name="差 2 8 6" xfId="6464"/>
    <cellStyle name="差 2 9" xfId="1689"/>
    <cellStyle name="差 2 9 2" xfId="1690"/>
    <cellStyle name="差 2 9 2 2" xfId="1691"/>
    <cellStyle name="差 2 9 2 2 2" xfId="6475"/>
    <cellStyle name="差 2 9 2 2 3" xfId="6474"/>
    <cellStyle name="差 2 9 2 3" xfId="1692"/>
    <cellStyle name="差 2 9 2 3 2" xfId="6476"/>
    <cellStyle name="差 2 9 2 4" xfId="1693"/>
    <cellStyle name="差 2 9 2 4 2" xfId="6477"/>
    <cellStyle name="差 2 9 2 5" xfId="1694"/>
    <cellStyle name="差 2 9 2 5 2" xfId="5125"/>
    <cellStyle name="差 2 9 2 6" xfId="6473"/>
    <cellStyle name="差 2 9 3" xfId="1695"/>
    <cellStyle name="差 2 9 3 2" xfId="6479"/>
    <cellStyle name="差 2 9 3 3" xfId="6478"/>
    <cellStyle name="差 2 9 4" xfId="1696"/>
    <cellStyle name="差 2 9 4 2" xfId="8509"/>
    <cellStyle name="差 2 9 5" xfId="1697"/>
    <cellStyle name="差 2 9 5 2" xfId="9774"/>
    <cellStyle name="差 2 9 6" xfId="6472"/>
    <cellStyle name="差 3" xfId="1698"/>
    <cellStyle name="差 3 2" xfId="1699"/>
    <cellStyle name="差 3 2 2" xfId="1700"/>
    <cellStyle name="差 3 2 2 2" xfId="6482"/>
    <cellStyle name="差 3 2 2 3" xfId="6481"/>
    <cellStyle name="差 3 2 3" xfId="1701"/>
    <cellStyle name="差 3 2 3 2" xfId="6483"/>
    <cellStyle name="差 3 2 4" xfId="1702"/>
    <cellStyle name="差 3 2 4 2" xfId="9368"/>
    <cellStyle name="差 3 2 5" xfId="1703"/>
    <cellStyle name="差 3 2 5 2" xfId="5126"/>
    <cellStyle name="差 3 2 6" xfId="1704"/>
    <cellStyle name="差 3 2 6 2" xfId="9370"/>
    <cellStyle name="差 3 2 7" xfId="4350"/>
    <cellStyle name="差 3 2 7 2" xfId="6480"/>
    <cellStyle name="差 3 2 8" xfId="8508"/>
    <cellStyle name="差 3 3" xfId="1705"/>
    <cellStyle name="差 3 3 2" xfId="1706"/>
    <cellStyle name="差 3 3 2 2" xfId="6485"/>
    <cellStyle name="差 3 3 3" xfId="4351"/>
    <cellStyle name="差 3 3 3 2" xfId="6484"/>
    <cellStyle name="差 3 3 4" xfId="8507"/>
    <cellStyle name="差 3 4" xfId="1707"/>
    <cellStyle name="差 3 4 2" xfId="6487"/>
    <cellStyle name="差 3 4 3" xfId="6486"/>
    <cellStyle name="差 3 5" xfId="1708"/>
    <cellStyle name="差 3 5 2" xfId="6488"/>
    <cellStyle name="差 3 5 3" xfId="8506"/>
    <cellStyle name="差 3 6" xfId="1709"/>
    <cellStyle name="差 3 6 2" xfId="9369"/>
    <cellStyle name="差 3 7" xfId="1710"/>
    <cellStyle name="差 3 7 2" xfId="5127"/>
    <cellStyle name="差 3 8" xfId="4349"/>
    <cellStyle name="差 4" xfId="1711"/>
    <cellStyle name="差 4 2" xfId="4352"/>
    <cellStyle name="差 4 3" xfId="5128"/>
    <cellStyle name="差_2010年12月税收计划完成情况通报表" xfId="1712"/>
    <cellStyle name="差_2010年12月税收计划完成情况通报表 2" xfId="1713"/>
    <cellStyle name="差_2010年12月税收计划完成情况通报表 2 2" xfId="1714"/>
    <cellStyle name="差_2010年12月税收计划完成情况通报表 2 2 2" xfId="1715"/>
    <cellStyle name="差_2010年12月税收计划完成情况通报表 2 2 2 2" xfId="1716"/>
    <cellStyle name="差_2010年12月税收计划完成情况通报表 2 2 2 2 2" xfId="1717"/>
    <cellStyle name="差_2010年12月税收计划完成情况通报表 2 2 2 2 2 2" xfId="9366"/>
    <cellStyle name="差_2010年12月税收计划完成情况通报表 2 2 2 2 3" xfId="4357"/>
    <cellStyle name="差_2010年12月税收计划完成情况通报表 2 2 2 2 4" xfId="5130"/>
    <cellStyle name="差_2010年12月税收计划完成情况通报表 2 2 2 3" xfId="1718"/>
    <cellStyle name="差_2010年12月税收计划完成情况通报表 2 2 2 3 2" xfId="9367"/>
    <cellStyle name="差_2010年12月税收计划完成情况通报表 2 2 2 4" xfId="1719"/>
    <cellStyle name="差_2010年12月税收计划完成情况通报表 2 2 2 4 2" xfId="5131"/>
    <cellStyle name="差_2010年12月税收计划完成情况通报表 2 2 2 5" xfId="4356"/>
    <cellStyle name="差_2010年12月税收计划完成情况通报表 2 2 2 6" xfId="9775"/>
    <cellStyle name="差_2010年12月税收计划完成情况通报表 2 2 3" xfId="1720"/>
    <cellStyle name="差_2010年12月税收计划完成情况通报表 2 2 3 2" xfId="1721"/>
    <cellStyle name="差_2010年12月税收计划完成情况通报表 2 2 3 2 2" xfId="5132"/>
    <cellStyle name="差_2010年12月税收计划完成情况通报表 2 2 3 3" xfId="4358"/>
    <cellStyle name="差_2010年12月税收计划完成情况通报表 2 2 3 4" xfId="9362"/>
    <cellStyle name="差_2010年12月税收计划完成情况通报表 2 2 4" xfId="1722"/>
    <cellStyle name="差_2010年12月税收计划完成情况通报表 2 2 4 2" xfId="9365"/>
    <cellStyle name="差_2010年12月税收计划完成情况通报表 2 2 5" xfId="1723"/>
    <cellStyle name="差_2010年12月税收计划完成情况通报表 2 2 5 2" xfId="5133"/>
    <cellStyle name="差_2010年12月税收计划完成情况通报表 2 2 6" xfId="4355"/>
    <cellStyle name="差_2010年12月税收计划完成情况通报表 2 2 7" xfId="5129"/>
    <cellStyle name="差_2010年12月税收计划完成情况通报表 2 3" xfId="1724"/>
    <cellStyle name="差_2010年12月税收计划完成情况通报表 2 3 2" xfId="1725"/>
    <cellStyle name="差_2010年12月税收计划完成情况通报表 2 3 2 2" xfId="1726"/>
    <cellStyle name="差_2010年12月税收计划完成情况通报表 2 3 2 2 2" xfId="9363"/>
    <cellStyle name="差_2010年12月税收计划完成情况通报表 2 3 2 3" xfId="4360"/>
    <cellStyle name="差_2010年12月税收计划完成情况通报表 2 3 2 4" xfId="5134"/>
    <cellStyle name="差_2010年12月税收计划完成情况通报表 2 3 3" xfId="1727"/>
    <cellStyle name="差_2010年12月税收计划完成情况通报表 2 3 3 2" xfId="9364"/>
    <cellStyle name="差_2010年12月税收计划完成情况通报表 2 3 4" xfId="1728"/>
    <cellStyle name="差_2010年12月税收计划完成情况通报表 2 3 4 2" xfId="5924"/>
    <cellStyle name="差_2010年12月税收计划完成情况通报表 2 3 5" xfId="4359"/>
    <cellStyle name="差_2010年12月税收计划完成情况通报表 2 3 5 2" xfId="6491"/>
    <cellStyle name="差_2010年12月税收计划完成情况通报表 2 3 6" xfId="8503"/>
    <cellStyle name="差_2010年12月税收计划完成情况通报表 2 4" xfId="1729"/>
    <cellStyle name="差_2010年12月税收计划完成情况通报表 2 4 2" xfId="1730"/>
    <cellStyle name="差_2010年12月税收计划完成情况通报表 2 4 2 2" xfId="5136"/>
    <cellStyle name="差_2010年12月税收计划完成情况通报表 2 4 3" xfId="4361"/>
    <cellStyle name="差_2010年12月税收计划完成情况通报表 2 4 4" xfId="5135"/>
    <cellStyle name="差_2010年12月税收计划完成情况通报表 2 5" xfId="1731"/>
    <cellStyle name="差_2010年12月税收计划完成情况通报表 2 5 2" xfId="9354"/>
    <cellStyle name="差_2010年12月税收计划完成情况通报表 2 6" xfId="1732"/>
    <cellStyle name="差_2010年12月税收计划完成情况通报表 2 6 2" xfId="9776"/>
    <cellStyle name="差_2010年12月税收计划完成情况通报表 2 7" xfId="4354"/>
    <cellStyle name="差_2010年12月税收计划完成情况通报表 3" xfId="1733"/>
    <cellStyle name="差_2010年12月税收计划完成情况通报表 3 2" xfId="1734"/>
    <cellStyle name="差_2010年12月税收计划完成情况通报表 3 2 2" xfId="9777"/>
    <cellStyle name="差_2010年12月税收计划完成情况通报表 3 3" xfId="4362"/>
    <cellStyle name="差_2010年12月税收计划完成情况通报表 3 4" xfId="5137"/>
    <cellStyle name="差_2010年12月税收计划完成情况通报表 4" xfId="1735"/>
    <cellStyle name="差_2010年12月税收计划完成情况通报表 4 2" xfId="5138"/>
    <cellStyle name="差_2010年12月税收计划完成情况通报表 5" xfId="1736"/>
    <cellStyle name="差_2010年12月税收计划完成情况通报表 5 2" xfId="9360"/>
    <cellStyle name="差_2010年12月税收计划完成情况通报表 6" xfId="4353"/>
    <cellStyle name="差_2010年12月税收计划完成情况通报表 6 2" xfId="6489"/>
    <cellStyle name="差_2014年一般预入计划(发改委简化表)" xfId="1737"/>
    <cellStyle name="差_2014年一般预入计划(发改委简化表) 2" xfId="1738"/>
    <cellStyle name="差_2014年一般预入计划(发改委简化表) 2 2" xfId="1739"/>
    <cellStyle name="差_2014年一般预入计划(发改委简化表) 2 2 2" xfId="1740"/>
    <cellStyle name="差_2014年一般预入计划(发改委简化表) 2 2 2 2" xfId="1741"/>
    <cellStyle name="差_2014年一般预入计划(发改委简化表) 2 2 2 2 2" xfId="1742"/>
    <cellStyle name="差_2014年一般预入计划(发改委简化表) 2 2 2 2 2 2" xfId="9355"/>
    <cellStyle name="差_2014年一般预入计划(发改委简化表) 2 2 2 2 3" xfId="4367"/>
    <cellStyle name="差_2014年一般预入计划(发改委简化表) 2 2 2 2 4" xfId="5139"/>
    <cellStyle name="差_2014年一般预入计划(发改委简化表) 2 2 2 3" xfId="1743"/>
    <cellStyle name="差_2014年一般预入计划(发改委简化表) 2 2 2 3 2" xfId="5140"/>
    <cellStyle name="差_2014年一般预入计划(发改委简化表) 2 2 2 4" xfId="1744"/>
    <cellStyle name="差_2014年一般预入计划(发改委简化表) 2 2 2 4 2" xfId="9359"/>
    <cellStyle name="差_2014年一般预入计划(发改委简化表) 2 2 2 5" xfId="4366"/>
    <cellStyle name="差_2014年一般预入计划(发改委简化表) 2 2 2 6" xfId="5958"/>
    <cellStyle name="差_2014年一般预入计划(发改委简化表) 2 2 3" xfId="1745"/>
    <cellStyle name="差_2014年一般预入计划(发改委简化表) 2 2 3 2" xfId="1746"/>
    <cellStyle name="差_2014年一般预入计划(发改委简化表) 2 2 3 2 2" xfId="9358"/>
    <cellStyle name="差_2014年一般预入计划(发改委简化表) 2 2 3 3" xfId="4368"/>
    <cellStyle name="差_2014年一般预入计划(发改委简化表) 2 2 3 4" xfId="5141"/>
    <cellStyle name="差_2014年一般预入计划(发改委简化表) 2 2 4" xfId="1747"/>
    <cellStyle name="差_2014年一般预入计划(发改委简化表) 2 2 4 2" xfId="5957"/>
    <cellStyle name="差_2014年一般预入计划(发改委简化表) 2 2 5" xfId="1748"/>
    <cellStyle name="差_2014年一般预入计划(发改委简化表) 2 2 5 2" xfId="9356"/>
    <cellStyle name="差_2014年一般预入计划(发改委简化表) 2 2 6" xfId="4365"/>
    <cellStyle name="差_2014年一般预入计划(发改委简化表) 2 2 7" xfId="9361"/>
    <cellStyle name="差_2014年一般预入计划(发改委简化表) 2 3" xfId="1749"/>
    <cellStyle name="差_2014年一般预入计划(发改委简化表) 2 3 2" xfId="1750"/>
    <cellStyle name="差_2014年一般预入计划(发改委简化表) 2 3 2 2" xfId="1751"/>
    <cellStyle name="差_2014年一般预入计划(发改委简化表) 2 3 2 2 2" xfId="9357"/>
    <cellStyle name="差_2014年一般预入计划(发改委简化表) 2 3 2 3" xfId="4370"/>
    <cellStyle name="差_2014年一般预入计划(发改委简化表) 2 3 2 4" xfId="5142"/>
    <cellStyle name="差_2014年一般预入计划(发改委简化表) 2 3 3" xfId="1752"/>
    <cellStyle name="差_2014年一般预入计划(发改委简化表) 2 3 3 2" xfId="5143"/>
    <cellStyle name="差_2014年一般预入计划(发改委简化表) 2 3 4" xfId="1753"/>
    <cellStyle name="差_2014年一般预入计划(发改委简化表) 2 3 4 2" xfId="5144"/>
    <cellStyle name="差_2014年一般预入计划(发改委简化表) 2 3 5" xfId="4369"/>
    <cellStyle name="差_2014年一般预入计划(发改委简化表) 2 3 5 2" xfId="6494"/>
    <cellStyle name="差_2014年一般预入计划(发改委简化表) 2 3 6" xfId="8501"/>
    <cellStyle name="差_2014年一般预入计划(发改委简化表) 2 4" xfId="1754"/>
    <cellStyle name="差_2014年一般预入计划(发改委简化表) 2 4 2" xfId="1755"/>
    <cellStyle name="差_2014年一般预入计划(发改委简化表) 2 4 2 2" xfId="5145"/>
    <cellStyle name="差_2014年一般预入计划(发改委简化表) 2 4 3" xfId="4371"/>
    <cellStyle name="差_2014年一般预入计划(发改委简化表) 2 4 4" xfId="5962"/>
    <cellStyle name="差_2014年一般预入计划(发改委简化表) 2 5" xfId="1756"/>
    <cellStyle name="差_2014年一般预入计划(发改委简化表) 2 5 2" xfId="9346"/>
    <cellStyle name="差_2014年一般预入计划(发改委简化表) 2 6" xfId="1757"/>
    <cellStyle name="差_2014年一般预入计划(发改委简化表) 2 6 2" xfId="9778"/>
    <cellStyle name="差_2014年一般预入计划(发改委简化表) 2 7" xfId="4364"/>
    <cellStyle name="差_2014年一般预入计划(发改委简化表) 3" xfId="1758"/>
    <cellStyle name="差_2014年一般预入计划(发改委简化表) 3 2" xfId="1759"/>
    <cellStyle name="差_2014年一般预入计划(发改委简化表) 3 2 2" xfId="9779"/>
    <cellStyle name="差_2014年一般预入计划(发改委简化表) 3 3" xfId="4372"/>
    <cellStyle name="差_2014年一般预入计划(发改委简化表) 3 4" xfId="5146"/>
    <cellStyle name="差_2014年一般预入计划(发改委简化表) 4" xfId="1760"/>
    <cellStyle name="差_2014年一般预入计划(发改委简化表) 4 2" xfId="5956"/>
    <cellStyle name="差_2014年一般预入计划(发改委简化表) 5" xfId="1761"/>
    <cellStyle name="差_2014年一般预入计划(发改委简化表) 5 2" xfId="9352"/>
    <cellStyle name="差_2014年一般预入计划(发改委简化表) 6" xfId="4363"/>
    <cellStyle name="差_2014年一般预入计划(发改委简化表) 6 2" xfId="6492"/>
    <cellStyle name="差_2014年一般预入计划(市政府下达)" xfId="1762"/>
    <cellStyle name="差_2014年一般预入计划(市政府下达) 2" xfId="1763"/>
    <cellStyle name="差_2014年一般预入计划(市政府下达) 2 2" xfId="1764"/>
    <cellStyle name="差_2014年一般预入计划(市政府下达) 2 2 2" xfId="1765"/>
    <cellStyle name="差_2014年一般预入计划(市政府下达) 2 2 2 2" xfId="1766"/>
    <cellStyle name="差_2014年一般预入计划(市政府下达) 2 2 2 2 2" xfId="1767"/>
    <cellStyle name="差_2014年一般预入计划(市政府下达) 2 2 2 2 2 2" xfId="9347"/>
    <cellStyle name="差_2014年一般预入计划(市政府下达) 2 2 2 2 3" xfId="4377"/>
    <cellStyle name="差_2014年一般预入计划(市政府下达) 2 2 2 2 4" xfId="5148"/>
    <cellStyle name="差_2014年一般预入计划(市政府下达) 2 2 2 3" xfId="1768"/>
    <cellStyle name="差_2014年一般预入计划(市政府下达) 2 2 2 3 2" xfId="5149"/>
    <cellStyle name="差_2014年一般预入计划(市政府下达) 2 2 2 4" xfId="1769"/>
    <cellStyle name="差_2014年一般预入计划(市政府下达) 2 2 2 4 2" xfId="9351"/>
    <cellStyle name="差_2014年一般预入计划(市政府下达) 2 2 2 5" xfId="4376"/>
    <cellStyle name="差_2014年一般预入计划(市政府下达) 2 2 2 6" xfId="5147"/>
    <cellStyle name="差_2014年一般预入计划(市政府下达) 2 2 3" xfId="1770"/>
    <cellStyle name="差_2014年一般预入计划(市政府下达) 2 2 3 2" xfId="1771"/>
    <cellStyle name="差_2014年一般预入计划(市政府下达) 2 2 3 2 2" xfId="9350"/>
    <cellStyle name="差_2014年一般预入计划(市政府下达) 2 2 3 3" xfId="4378"/>
    <cellStyle name="差_2014年一般预入计划(市政府下达) 2 2 3 4" xfId="5150"/>
    <cellStyle name="差_2014年一般预入计划(市政府下达) 2 2 4" xfId="1772"/>
    <cellStyle name="差_2014年一般预入计划(市政府下达) 2 2 4 2" xfId="5966"/>
    <cellStyle name="差_2014年一般预入计划(市政府下达) 2 2 5" xfId="1773"/>
    <cellStyle name="差_2014年一般预入计划(市政府下达) 2 2 5 2" xfId="9348"/>
    <cellStyle name="差_2014年一般预入计划(市政府下达) 2 2 6" xfId="4375"/>
    <cellStyle name="差_2014年一般预入计划(市政府下达) 2 2 7" xfId="9353"/>
    <cellStyle name="差_2014年一般预入计划(市政府下达) 2 3" xfId="1774"/>
    <cellStyle name="差_2014年一般预入计划(市政府下达) 2 3 2" xfId="1775"/>
    <cellStyle name="差_2014年一般预入计划(市政府下达) 2 3 2 2" xfId="1776"/>
    <cellStyle name="差_2014年一般预入计划(市政府下达) 2 3 2 2 2" xfId="9349"/>
    <cellStyle name="差_2014年一般预入计划(市政府下达) 2 3 2 3" xfId="4380"/>
    <cellStyle name="差_2014年一般预入计划(市政府下达) 2 3 2 4" xfId="5151"/>
    <cellStyle name="差_2014年一般预入计划(市政府下达) 2 3 3" xfId="1777"/>
    <cellStyle name="差_2014年一般预入计划(市政府下达) 2 3 3 2" xfId="5152"/>
    <cellStyle name="差_2014年一般预入计划(市政府下达) 2 3 4" xfId="1778"/>
    <cellStyle name="差_2014年一般预入计划(市政府下达) 2 3 4 2" xfId="5965"/>
    <cellStyle name="差_2014年一般预入计划(市政府下达) 2 3 5" xfId="4379"/>
    <cellStyle name="差_2014年一般预入计划(市政府下达) 2 3 5 2" xfId="6496"/>
    <cellStyle name="差_2014年一般预入计划(市政府下达) 2 3 6" xfId="8498"/>
    <cellStyle name="差_2014年一般预入计划(市政府下达) 2 4" xfId="1779"/>
    <cellStyle name="差_2014年一般预入计划(市政府下达) 2 4 2" xfId="1780"/>
    <cellStyle name="差_2014年一般预入计划(市政府下达) 2 4 2 2" xfId="5154"/>
    <cellStyle name="差_2014年一般预入计划(市政府下达) 2 4 3" xfId="4381"/>
    <cellStyle name="差_2014年一般预入计划(市政府下达) 2 4 4" xfId="5153"/>
    <cellStyle name="差_2014年一般预入计划(市政府下达) 2 5" xfId="1781"/>
    <cellStyle name="差_2014年一般预入计划(市政府下达) 2 5 2" xfId="9318"/>
    <cellStyle name="差_2014年一般预入计划(市政府下达) 2 6" xfId="1782"/>
    <cellStyle name="差_2014年一般预入计划(市政府下达) 2 6 2" xfId="5155"/>
    <cellStyle name="差_2014年一般预入计划(市政府下达) 2 7" xfId="4374"/>
    <cellStyle name="差_2014年一般预入计划(市政府下达) 3" xfId="1783"/>
    <cellStyle name="差_2014年一般预入计划(市政府下达) 3 2" xfId="1784"/>
    <cellStyle name="差_2014年一般预入计划(市政府下达) 3 2 2" xfId="5156"/>
    <cellStyle name="差_2014年一般预入计划(市政府下达) 3 3" xfId="4382"/>
    <cellStyle name="差_2014年一般预入计划(市政府下达) 3 4" xfId="9780"/>
    <cellStyle name="差_2014年一般预入计划(市政府下达) 4" xfId="1785"/>
    <cellStyle name="差_2014年一般预入计划(市政府下达) 4 2" xfId="9344"/>
    <cellStyle name="差_2014年一般预入计划(市政府下达) 5" xfId="1786"/>
    <cellStyle name="差_2014年一般预入计划(市政府下达) 5 2" xfId="9345"/>
    <cellStyle name="差_2014年一般预入计划(市政府下达) 6" xfId="4373"/>
    <cellStyle name="差_2014年一般预入计划(市政府下达) 6 2" xfId="6495"/>
    <cellStyle name="差_2015功能预算正式本表4.30" xfId="1787"/>
    <cellStyle name="差_2015功能预算正式本表4.30 2" xfId="1788"/>
    <cellStyle name="差_2015功能预算正式本表4.30 2 2" xfId="1789"/>
    <cellStyle name="差_2015功能预算正式本表4.30 2 2 2" xfId="1790"/>
    <cellStyle name="差_2015功能预算正式本表4.30 2 2 2 2" xfId="1791"/>
    <cellStyle name="差_2015功能预算正式本表4.30 2 2 2 2 2" xfId="1792"/>
    <cellStyle name="差_2015功能预算正式本表4.30 2 2 2 2 2 2" xfId="5964"/>
    <cellStyle name="差_2015功能预算正式本表4.30 2 2 2 2 3" xfId="4387"/>
    <cellStyle name="差_2015功能预算正式本表4.30 2 2 2 2 4" xfId="9343"/>
    <cellStyle name="差_2015功能预算正式本表4.30 2 2 2 3" xfId="1793"/>
    <cellStyle name="差_2015功能预算正式本表4.30 2 2 2 3 2" xfId="9342"/>
    <cellStyle name="差_2015功能预算正式本表4.30 2 2 2 4" xfId="1794"/>
    <cellStyle name="差_2015功能预算正式本表4.30 2 2 2 4 2" xfId="5158"/>
    <cellStyle name="差_2015功能预算正式本表4.30 2 2 2 5" xfId="4386"/>
    <cellStyle name="差_2015功能预算正式本表4.30 2 2 2 6" xfId="5157"/>
    <cellStyle name="差_2015功能预算正式本表4.30 2 2 3" xfId="1795"/>
    <cellStyle name="差_2015功能预算正式本表4.30 2 2 3 2" xfId="1796"/>
    <cellStyle name="差_2015功能预算正式本表4.30 2 2 3 2 2" xfId="9341"/>
    <cellStyle name="差_2015功能预算正式本表4.30 2 2 3 3" xfId="4388"/>
    <cellStyle name="差_2015功能预算正式本表4.30 2 2 3 4" xfId="9340"/>
    <cellStyle name="差_2015功能预算正式本表4.30 2 2 4" xfId="1797"/>
    <cellStyle name="差_2015功能预算正式本表4.30 2 2 4 2" xfId="5159"/>
    <cellStyle name="差_2015功能预算正式本表4.30 2 2 5" xfId="1798"/>
    <cellStyle name="差_2015功能预算正式本表4.30 2 2 5 2" xfId="5160"/>
    <cellStyle name="差_2015功能预算正式本表4.30 2 2 6" xfId="4385"/>
    <cellStyle name="差_2015功能预算正式本表4.30 2 2 7" xfId="9339"/>
    <cellStyle name="差_2015功能预算正式本表4.30 2 3" xfId="1799"/>
    <cellStyle name="差_2015功能预算正式本表4.30 2 3 2" xfId="1800"/>
    <cellStyle name="差_2015功能预算正式本表4.30 2 3 2 2" xfId="1801"/>
    <cellStyle name="差_2015功能预算正式本表4.30 2 3 2 2 2" xfId="9781"/>
    <cellStyle name="差_2015功能预算正式本表4.30 2 3 2 3" xfId="4390"/>
    <cellStyle name="差_2015功能预算正式本表4.30 2 3 2 4" xfId="5161"/>
    <cellStyle name="差_2015功能预算正式本表4.30 2 3 3" xfId="1802"/>
    <cellStyle name="差_2015功能预算正式本表4.30 2 3 3 2" xfId="5162"/>
    <cellStyle name="差_2015功能预算正式本表4.30 2 3 4" xfId="1803"/>
    <cellStyle name="差_2015功能预算正式本表4.30 2 3 4 2" xfId="9337"/>
    <cellStyle name="差_2015功能预算正式本表4.30 2 3 5" xfId="4389"/>
    <cellStyle name="差_2015功能预算正式本表4.30 2 3 5 2" xfId="6498"/>
    <cellStyle name="差_2015功能预算正式本表4.30 2 3 6" xfId="8493"/>
    <cellStyle name="差_2015功能预算正式本表4.30 2 4" xfId="1804"/>
    <cellStyle name="差_2015功能预算正式本表4.30 2 4 2" xfId="1805"/>
    <cellStyle name="差_2015功能预算正式本表4.30 2 4 2 2" xfId="5163"/>
    <cellStyle name="差_2015功能预算正式本表4.30 2 4 3" xfId="4391"/>
    <cellStyle name="差_2015功能预算正式本表4.30 2 4 4" xfId="9338"/>
    <cellStyle name="差_2015功能预算正式本表4.30 2 5" xfId="1806"/>
    <cellStyle name="差_2015功能预算正式本表4.30 2 5 2" xfId="9334"/>
    <cellStyle name="差_2015功能预算正式本表4.30 2 6" xfId="1807"/>
    <cellStyle name="差_2015功能预算正式本表4.30 2 6 2" xfId="5164"/>
    <cellStyle name="差_2015功能预算正式本表4.30 2 7" xfId="4384"/>
    <cellStyle name="差_2015功能预算正式本表4.30 3" xfId="1808"/>
    <cellStyle name="差_2015功能预算正式本表4.30 3 2" xfId="1809"/>
    <cellStyle name="差_2015功能预算正式本表4.30 3 2 2" xfId="5165"/>
    <cellStyle name="差_2015功能预算正式本表4.30 3 3" xfId="4392"/>
    <cellStyle name="差_2015功能预算正式本表4.30 3 4" xfId="9336"/>
    <cellStyle name="差_2015功能预算正式本表4.30 4" xfId="1810"/>
    <cellStyle name="差_2015功能预算正式本表4.30 4 2" xfId="9335"/>
    <cellStyle name="差_2015功能预算正式本表4.30 5" xfId="1811"/>
    <cellStyle name="差_2015功能预算正式本表4.30 5 2" xfId="5166"/>
    <cellStyle name="差_2015功能预算正式本表4.30 6" xfId="4383"/>
    <cellStyle name="差_2015功能预算正式本表4.30 6 2" xfId="6497"/>
    <cellStyle name="差_2015年一般预入计划(简化表)" xfId="1812"/>
    <cellStyle name="差_2015年一般预入计划(简化表) 2" xfId="1813"/>
    <cellStyle name="差_2015年一般预入计划(简化表) 2 2" xfId="1814"/>
    <cellStyle name="差_2015年一般预入计划(简化表) 2 2 2" xfId="1815"/>
    <cellStyle name="差_2015年一般预入计划(简化表) 2 2 2 2" xfId="1816"/>
    <cellStyle name="差_2015年一般预入计划(简化表) 2 2 2 2 2" xfId="1817"/>
    <cellStyle name="差_2015年一般预入计划(简化表) 2 2 2 2 2 2" xfId="9327"/>
    <cellStyle name="差_2015年一般预入计划(简化表) 2 2 2 2 3" xfId="4397"/>
    <cellStyle name="差_2015年一般预入计划(简化表) 2 2 2 2 4" xfId="5168"/>
    <cellStyle name="差_2015年一般预入计划(简化表) 2 2 2 3" xfId="1818"/>
    <cellStyle name="差_2015年一般预入计划(简化表) 2 2 2 3 2" xfId="5169"/>
    <cellStyle name="差_2015年一般预入计划(简化表) 2 2 2 4" xfId="1819"/>
    <cellStyle name="差_2015年一般预入计划(简化表) 2 2 2 4 2" xfId="9782"/>
    <cellStyle name="差_2015年一般预入计划(简化表) 2 2 2 5" xfId="4396"/>
    <cellStyle name="差_2015年一般预入计划(简化表) 2 2 2 6" xfId="5167"/>
    <cellStyle name="差_2015年一般预入计划(简化表) 2 2 3" xfId="1820"/>
    <cellStyle name="差_2015年一般预入计划(简化表) 2 2 3 2" xfId="1821"/>
    <cellStyle name="差_2015年一般预入计划(简化表) 2 2 3 2 2" xfId="9332"/>
    <cellStyle name="差_2015年一般预入计划(简化表) 2 2 3 3" xfId="4398"/>
    <cellStyle name="差_2015年一般预入计划(简化表) 2 2 3 4" xfId="5170"/>
    <cellStyle name="差_2015年一般预入计划(简化表) 2 2 4" xfId="1822"/>
    <cellStyle name="差_2015年一般预入计划(简化表) 2 2 4 2" xfId="9333"/>
    <cellStyle name="差_2015年一般预入计划(简化表) 2 2 5" xfId="1823"/>
    <cellStyle name="差_2015年一般预入计划(简化表) 2 2 5 2" xfId="5171"/>
    <cellStyle name="差_2015年一般预入计划(简化表) 2 2 6" xfId="4395"/>
    <cellStyle name="差_2015年一般预入计划(简化表) 2 2 7" xfId="5971"/>
    <cellStyle name="差_2015年一般预入计划(简化表) 2 3" xfId="1824"/>
    <cellStyle name="差_2015年一般预入计划(简化表) 2 3 2" xfId="1825"/>
    <cellStyle name="差_2015年一般预入计划(简化表) 2 3 2 2" xfId="1826"/>
    <cellStyle name="差_2015年一般预入计划(简化表) 2 3 2 2 2" xfId="9331"/>
    <cellStyle name="差_2015年一般预入计划(简化表) 2 3 2 3" xfId="4400"/>
    <cellStyle name="差_2015年一般预入计划(简化表) 2 3 2 4" xfId="5172"/>
    <cellStyle name="差_2015年一般预入计划(简化表) 2 3 3" xfId="1827"/>
    <cellStyle name="差_2015年一般预入计划(简化表) 2 3 3 2" xfId="5173"/>
    <cellStyle name="差_2015年一般预入计划(简化表) 2 3 4" xfId="1828"/>
    <cellStyle name="差_2015年一般预入计划(简化表) 2 3 4 2" xfId="9330"/>
    <cellStyle name="差_2015年一般预入计划(简化表) 2 3 5" xfId="4399"/>
    <cellStyle name="差_2015年一般预入计划(简化表) 2 3 5 2" xfId="6501"/>
    <cellStyle name="差_2015年一般预入计划(简化表) 2 3 6" xfId="8490"/>
    <cellStyle name="差_2015年一般预入计划(简化表) 2 4" xfId="1829"/>
    <cellStyle name="差_2015年一般预入计划(简化表) 2 4 2" xfId="1830"/>
    <cellStyle name="差_2015年一般预入计划(简化表) 2 4 2 2" xfId="9328"/>
    <cellStyle name="差_2015年一般预入计划(简化表) 2 4 3" xfId="4401"/>
    <cellStyle name="差_2015年一般预入计划(简化表) 2 4 4" xfId="5174"/>
    <cellStyle name="差_2015年一般预入计划(简化表) 2 5" xfId="1831"/>
    <cellStyle name="差_2015年一般预入计划(简化表) 2 5 2" xfId="9329"/>
    <cellStyle name="差_2015年一般预入计划(简化表) 2 6" xfId="1832"/>
    <cellStyle name="差_2015年一般预入计划(简化表) 2 6 2" xfId="5175"/>
    <cellStyle name="差_2015年一般预入计划(简化表) 2 7" xfId="4394"/>
    <cellStyle name="差_2015年一般预入计划(简化表) 3" xfId="1833"/>
    <cellStyle name="差_2015年一般预入计划(简化表) 3 2" xfId="1834"/>
    <cellStyle name="差_2015年一般预入计划(简化表) 3 2 2" xfId="5176"/>
    <cellStyle name="差_2015年一般预入计划(简化表) 3 3" xfId="4402"/>
    <cellStyle name="差_2015年一般预入计划(简化表) 3 4" xfId="5979"/>
    <cellStyle name="差_2015年一般预入计划(简化表) 4" xfId="1835"/>
    <cellStyle name="差_2015年一般预入计划(简化表) 4 2" xfId="9319"/>
    <cellStyle name="差_2015年一般预入计划(简化表) 5" xfId="1836"/>
    <cellStyle name="差_2015年一般预入计划(简化表) 5 2" xfId="5177"/>
    <cellStyle name="差_2015年一般预入计划(简化表) 6" xfId="4393"/>
    <cellStyle name="差_2015年一般预入计划(简化表) 6 2" xfId="6499"/>
    <cellStyle name="差_2016年新宾县一般公共预算收入预算表" xfId="1837"/>
    <cellStyle name="差_2016年新宾县一般公共预算收入预算表 2" xfId="1838"/>
    <cellStyle name="差_2016年新宾县一般公共预算收入预算表 2 2" xfId="1839"/>
    <cellStyle name="差_2016年新宾县一般公共预算收入预算表 2 2 2" xfId="6504"/>
    <cellStyle name="差_2016年新宾县一般公共预算收入预算表 2 2 3" xfId="9325"/>
    <cellStyle name="差_2016年新宾县一般公共预算收入预算表 2 3" xfId="4404"/>
    <cellStyle name="差_2016年新宾县一般公共预算收入预算表 2 3 2" xfId="6505"/>
    <cellStyle name="差_2016年新宾县一般公共预算收入预算表 2 4" xfId="6503"/>
    <cellStyle name="差_2016年新宾县一般公共预算收入预算表 3" xfId="1840"/>
    <cellStyle name="差_2016年新宾县一般公共预算收入预算表 3 2" xfId="9326"/>
    <cellStyle name="差_2016年新宾县一般公共预算收入预算表 4" xfId="1841"/>
    <cellStyle name="差_2016年新宾县一般公共预算收入预算表 4 2" xfId="5178"/>
    <cellStyle name="差_2016年新宾县一般公共预算收入预算表 5" xfId="4403"/>
    <cellStyle name="差_2016年新宾县一般公共预算收入预算表 5 2" xfId="6502"/>
    <cellStyle name="差_2016年一般预入计划" xfId="1842"/>
    <cellStyle name="差_2016年一般预入计划 2" xfId="1843"/>
    <cellStyle name="差_2016年一般预入计划 2 2" xfId="1844"/>
    <cellStyle name="差_2016年一般预入计划 2 2 2" xfId="1845"/>
    <cellStyle name="差_2016年一般预入计划 2 2 2 2" xfId="1846"/>
    <cellStyle name="差_2016年一般预入计划 2 2 2 2 2" xfId="1847"/>
    <cellStyle name="差_2016年一般预入计划 2 2 2 2 2 2" xfId="5181"/>
    <cellStyle name="差_2016年一般预入计划 2 2 2 2 3" xfId="4409"/>
    <cellStyle name="差_2016年一般预入计划 2 2 2 2 4" xfId="9323"/>
    <cellStyle name="差_2016年一般预入计划 2 2 2 3" xfId="1848"/>
    <cellStyle name="差_2016年一般预入计划 2 2 2 3 2" xfId="9321"/>
    <cellStyle name="差_2016年一般预入计划 2 2 2 4" xfId="1849"/>
    <cellStyle name="差_2016年一般预入计划 2 2 2 4 2" xfId="9322"/>
    <cellStyle name="差_2016年一般预入计划 2 2 2 5" xfId="4408"/>
    <cellStyle name="差_2016年一般预入计划 2 2 2 6" xfId="5180"/>
    <cellStyle name="差_2016年一般预入计划 2 2 3" xfId="1850"/>
    <cellStyle name="差_2016年一般预入计划 2 2 3 2" xfId="1851"/>
    <cellStyle name="差_2016年一般预入计划 2 2 3 2 2" xfId="5183"/>
    <cellStyle name="差_2016年一般预入计划 2 2 3 3" xfId="4410"/>
    <cellStyle name="差_2016年一般预入计划 2 2 3 4" xfId="5182"/>
    <cellStyle name="差_2016年一般预入计划 2 2 4" xfId="1852"/>
    <cellStyle name="差_2016年一般预入计划 2 2 4 2" xfId="5184"/>
    <cellStyle name="差_2016年一般预入计划 2 2 5" xfId="1853"/>
    <cellStyle name="差_2016年一般预入计划 2 2 5 2" xfId="5185"/>
    <cellStyle name="差_2016年一般预入计划 2 2 6" xfId="4407"/>
    <cellStyle name="差_2016年一般预入计划 2 2 7" xfId="9324"/>
    <cellStyle name="差_2016年一般预入计划 2 3" xfId="1854"/>
    <cellStyle name="差_2016年一般预入计划 2 3 2" xfId="1855"/>
    <cellStyle name="差_2016年一般预入计划 2 3 2 2" xfId="1856"/>
    <cellStyle name="差_2016年一般预入计划 2 3 2 2 2" xfId="5187"/>
    <cellStyle name="差_2016年一般预入计划 2 3 2 3" xfId="4412"/>
    <cellStyle name="差_2016年一般预入计划 2 3 2 4" xfId="9309"/>
    <cellStyle name="差_2016年一般预入计划 2 3 3" xfId="1857"/>
    <cellStyle name="差_2016年一般预入计划 2 3 3 2" xfId="5188"/>
    <cellStyle name="差_2016年一般预入计划 2 3 4" xfId="1858"/>
    <cellStyle name="差_2016年一般预入计划 2 3 4 2" xfId="9783"/>
    <cellStyle name="差_2016年一般预入计划 2 3 5" xfId="4411"/>
    <cellStyle name="差_2016年一般预入计划 2 3 6" xfId="5186"/>
    <cellStyle name="差_2016年一般预入计划 2 4" xfId="1859"/>
    <cellStyle name="差_2016年一般预入计划 2 4 2" xfId="1860"/>
    <cellStyle name="差_2016年一般预入计划 2 4 2 2" xfId="5189"/>
    <cellStyle name="差_2016年一般预入计划 2 4 3" xfId="4413"/>
    <cellStyle name="差_2016年一般预入计划 2 4 4" xfId="9316"/>
    <cellStyle name="差_2016年一般预入计划 2 5" xfId="1861"/>
    <cellStyle name="差_2016年一般预入计划 2 5 2" xfId="9314"/>
    <cellStyle name="差_2016年一般预入计划 2 6" xfId="1862"/>
    <cellStyle name="差_2016年一般预入计划 2 6 2" xfId="9315"/>
    <cellStyle name="差_2016年一般预入计划 2 7" xfId="4406"/>
    <cellStyle name="差_2016年一般预入计划 2 8" xfId="5179"/>
    <cellStyle name="差_2016年一般预入计划 3" xfId="1863"/>
    <cellStyle name="差_2016年一般预入计划 3 2" xfId="1864"/>
    <cellStyle name="差_2016年一般预入计划 3 2 2" xfId="9784"/>
    <cellStyle name="差_2016年一般预入计划 3 3" xfId="4414"/>
    <cellStyle name="差_2016年一般预入计划 3 4" xfId="5190"/>
    <cellStyle name="差_2016年一般预入计划 4" xfId="1865"/>
    <cellStyle name="差_2016年一般预入计划 4 2" xfId="9312"/>
    <cellStyle name="差_2016年一般预入计划 5" xfId="1866"/>
    <cellStyle name="差_2016年一般预入计划 5 2" xfId="9313"/>
    <cellStyle name="差_2016年一般预入计划 6" xfId="4405"/>
    <cellStyle name="差_2016年一般预入计划 7" xfId="9320"/>
    <cellStyle name="常规" xfId="0" builtinId="0"/>
    <cellStyle name="常规 10" xfId="1867"/>
    <cellStyle name="常规 10 2" xfId="1868"/>
    <cellStyle name="常规 10 2 2" xfId="1869"/>
    <cellStyle name="常规 10 2 2 2" xfId="1870"/>
    <cellStyle name="常规 10 2 2 2 2" xfId="6506"/>
    <cellStyle name="常规 10 2 2 3" xfId="1871"/>
    <cellStyle name="常规 10 2 2 3 2" xfId="8484"/>
    <cellStyle name="常规 10 2 2 4" xfId="1872"/>
    <cellStyle name="常规 10 2 2 4 2" xfId="5191"/>
    <cellStyle name="常规 10 2 2 5" xfId="4417"/>
    <cellStyle name="常规 10 2 3" xfId="1873"/>
    <cellStyle name="常规 10 2 3 2" xfId="1874"/>
    <cellStyle name="常规 10 2 3 2 2" xfId="9311"/>
    <cellStyle name="常规 10 2 3 3" xfId="6507"/>
    <cellStyle name="常规 10 2 4" xfId="1875"/>
    <cellStyle name="常规 10 2 4 2" xfId="8483"/>
    <cellStyle name="常规 10 2 5" xfId="1876"/>
    <cellStyle name="常规 10 2 5 2" xfId="9310"/>
    <cellStyle name="常规 10 2 6" xfId="4416"/>
    <cellStyle name="常规 10 3" xfId="1877"/>
    <cellStyle name="常规 10 3 2" xfId="1878"/>
    <cellStyle name="常规 10 3 2 2" xfId="6509"/>
    <cellStyle name="常规 10 3 3" xfId="1879"/>
    <cellStyle name="常规 10 3 3 2" xfId="8482"/>
    <cellStyle name="常规 10 3 4" xfId="1880"/>
    <cellStyle name="常规 10 3 4 2" xfId="5192"/>
    <cellStyle name="常规 10 3 5" xfId="4418"/>
    <cellStyle name="常规 10 4" xfId="1881"/>
    <cellStyle name="常规 10 4 2" xfId="1882"/>
    <cellStyle name="常规 10 4 2 2" xfId="6511"/>
    <cellStyle name="常规 10 4 3" xfId="6510"/>
    <cellStyle name="常规 10 5" xfId="1883"/>
    <cellStyle name="常规 10 5 2" xfId="8481"/>
    <cellStyle name="常规 10 6" xfId="1884"/>
    <cellStyle name="常规 10 6 2" xfId="5193"/>
    <cellStyle name="常规 10 7" xfId="4415"/>
    <cellStyle name="常规 11" xfId="1885"/>
    <cellStyle name="常规 11 2" xfId="1886"/>
    <cellStyle name="常规 11 2 2" xfId="1887"/>
    <cellStyle name="常规 11 2 2 2" xfId="1888"/>
    <cellStyle name="常规 11 2 2 2 2" xfId="6514"/>
    <cellStyle name="常规 11 2 2 3" xfId="1889"/>
    <cellStyle name="常规 11 2 2 3 2" xfId="5194"/>
    <cellStyle name="常规 11 2 2 4" xfId="1890"/>
    <cellStyle name="常规 11 2 2 4 2" xfId="9308"/>
    <cellStyle name="常规 11 2 2 5" xfId="6513"/>
    <cellStyle name="常规 11 2 3" xfId="1891"/>
    <cellStyle name="常规 11 2 3 2" xfId="1892"/>
    <cellStyle name="常规 11 2 3 2 2" xfId="9307"/>
    <cellStyle name="常规 11 2 3 3" xfId="6515"/>
    <cellStyle name="常规 11 2 4" xfId="1893"/>
    <cellStyle name="常规 11 2 4 2" xfId="8480"/>
    <cellStyle name="常规 11 2 5" xfId="1894"/>
    <cellStyle name="常规 11 2 5 2" xfId="9305"/>
    <cellStyle name="常规 11 2 6" xfId="6512"/>
    <cellStyle name="常规 11 3" xfId="1895"/>
    <cellStyle name="常规 11 3 2" xfId="1896"/>
    <cellStyle name="常规 11 3 2 2" xfId="5195"/>
    <cellStyle name="常规 11 3 3" xfId="6516"/>
    <cellStyle name="常规 11 3 4" xfId="9306"/>
    <cellStyle name="常规 11 4" xfId="1897"/>
    <cellStyle name="常规 11 4 2" xfId="6517"/>
    <cellStyle name="常规 11 4 3" xfId="5196"/>
    <cellStyle name="常规 11 5" xfId="1898"/>
    <cellStyle name="常规 11 5 2" xfId="8228"/>
    <cellStyle name="常规 11 6" xfId="1899"/>
    <cellStyle name="常规 11 6 2" xfId="9303"/>
    <cellStyle name="常规 11 7" xfId="1900"/>
    <cellStyle name="常规 11 7 2" xfId="5197"/>
    <cellStyle name="常规 11 8" xfId="1901"/>
    <cellStyle name="常规 11 8 2" xfId="9785"/>
    <cellStyle name="常规 11 9" xfId="4419"/>
    <cellStyle name="常规 12" xfId="1902"/>
    <cellStyle name="常规 12 10" xfId="8479"/>
    <cellStyle name="常规 12 2" xfId="1903"/>
    <cellStyle name="常规 12 2 2" xfId="1904"/>
    <cellStyle name="常规 12 2 2 2" xfId="1905"/>
    <cellStyle name="常规 12 2 2 2 2" xfId="6521"/>
    <cellStyle name="常规 12 2 2 3" xfId="1906"/>
    <cellStyle name="常规 12 2 2 3 2" xfId="9304"/>
    <cellStyle name="常规 12 2 2 4" xfId="1907"/>
    <cellStyle name="常规 12 2 2 4 2" xfId="5198"/>
    <cellStyle name="常规 12 2 2 5" xfId="6520"/>
    <cellStyle name="常规 12 2 3" xfId="1908"/>
    <cellStyle name="常规 12 2 3 2" xfId="1909"/>
    <cellStyle name="常规 12 2 3 2 2" xfId="5199"/>
    <cellStyle name="常规 12 2 3 3" xfId="6522"/>
    <cellStyle name="常规 12 2 4" xfId="1910"/>
    <cellStyle name="常规 12 2 4 2" xfId="8478"/>
    <cellStyle name="常规 12 2 5" xfId="1911"/>
    <cellStyle name="常规 12 2 5 2" xfId="8593"/>
    <cellStyle name="常规 12 2 6" xfId="6519"/>
    <cellStyle name="常规 12 3" xfId="1912"/>
    <cellStyle name="常规 12 3 2" xfId="1913"/>
    <cellStyle name="常规 12 3 2 2" xfId="6524"/>
    <cellStyle name="常规 12 3 3" xfId="1914"/>
    <cellStyle name="常规 12 3 3 2" xfId="5200"/>
    <cellStyle name="常规 12 3 4" xfId="1915"/>
    <cellStyle name="常规 12 3 4 2" xfId="5201"/>
    <cellStyle name="常规 12 3 5" xfId="6523"/>
    <cellStyle name="常规 12 4" xfId="1916"/>
    <cellStyle name="常规 12 4 2" xfId="1917"/>
    <cellStyle name="常规 12 4 2 2" xfId="9299"/>
    <cellStyle name="常规 12 4 3" xfId="6525"/>
    <cellStyle name="常规 12 5" xfId="1918"/>
    <cellStyle name="常规 12 5 2" xfId="8477"/>
    <cellStyle name="常规 12 5 3" xfId="5202"/>
    <cellStyle name="常规 12 6" xfId="1919"/>
    <cellStyle name="常规 12 6 2" xfId="8476"/>
    <cellStyle name="常规 12 6 3" xfId="9786"/>
    <cellStyle name="常规 12 7" xfId="1920"/>
    <cellStyle name="常规 12 7 2" xfId="5203"/>
    <cellStyle name="常规 12 8" xfId="1921"/>
    <cellStyle name="常规 12 8 2" xfId="9302"/>
    <cellStyle name="常规 12 9" xfId="4420"/>
    <cellStyle name="常规 12 9 2" xfId="6518"/>
    <cellStyle name="常规 13" xfId="1922"/>
    <cellStyle name="常规 13 2" xfId="1923"/>
    <cellStyle name="常规 13 2 2" xfId="1924"/>
    <cellStyle name="常规 13 2 2 2" xfId="1925"/>
    <cellStyle name="常规 13 2 2 2 2" xfId="6529"/>
    <cellStyle name="常规 13 2 2 3" xfId="1926"/>
    <cellStyle name="常规 13 2 2 3 2" xfId="9301"/>
    <cellStyle name="常规 13 2 2 4" xfId="1927"/>
    <cellStyle name="常规 13 2 2 4 2" xfId="5204"/>
    <cellStyle name="常规 13 2 2 5" xfId="6528"/>
    <cellStyle name="常规 13 2 3" xfId="1928"/>
    <cellStyle name="常规 13 2 3 2" xfId="1929"/>
    <cellStyle name="常规 13 2 3 2 2" xfId="5205"/>
    <cellStyle name="常规 13 2 3 3" xfId="6530"/>
    <cellStyle name="常规 13 2 4" xfId="1930"/>
    <cellStyle name="常规 13 2 4 2" xfId="8474"/>
    <cellStyle name="常规 13 2 5" xfId="1931"/>
    <cellStyle name="常规 13 2 5 2" xfId="9300"/>
    <cellStyle name="常规 13 2 6" xfId="6527"/>
    <cellStyle name="常规 13 3" xfId="1932"/>
    <cellStyle name="常规 13 3 2" xfId="1933"/>
    <cellStyle name="常规 13 3 2 2" xfId="6532"/>
    <cellStyle name="常规 13 3 3" xfId="1934"/>
    <cellStyle name="常规 13 3 3 2" xfId="5206"/>
    <cellStyle name="常规 13 3 4" xfId="1935"/>
    <cellStyle name="常规 13 3 4 2" xfId="9296"/>
    <cellStyle name="常规 13 3 5" xfId="6531"/>
    <cellStyle name="常规 13 4" xfId="1936"/>
    <cellStyle name="常规 13 4 2" xfId="1937"/>
    <cellStyle name="常规 13 4 2 2" xfId="9787"/>
    <cellStyle name="常规 13 4 3" xfId="6533"/>
    <cellStyle name="常规 13 5" xfId="1938"/>
    <cellStyle name="常规 13 5 2" xfId="8473"/>
    <cellStyle name="常规 13 6" xfId="1939"/>
    <cellStyle name="常规 13 6 2" xfId="8472"/>
    <cellStyle name="常规 13 7" xfId="4421"/>
    <cellStyle name="常规 13 7 2" xfId="6526"/>
    <cellStyle name="常规 13 8" xfId="8475"/>
    <cellStyle name="常规 14" xfId="1940"/>
    <cellStyle name="常规 14 2" xfId="1941"/>
    <cellStyle name="常规 14 2 2" xfId="1942"/>
    <cellStyle name="常规 14 2 2 2" xfId="1943"/>
    <cellStyle name="常规 14 2 2 2 2" xfId="6537"/>
    <cellStyle name="常规 14 2 2 3" xfId="1944"/>
    <cellStyle name="常规 14 2 2 3 2" xfId="9298"/>
    <cellStyle name="常规 14 2 2 4" xfId="1945"/>
    <cellStyle name="常规 14 2 2 4 2" xfId="5207"/>
    <cellStyle name="常规 14 2 2 5" xfId="6536"/>
    <cellStyle name="常规 14 2 3" xfId="1946"/>
    <cellStyle name="常规 14 2 3 2" xfId="6538"/>
    <cellStyle name="常规 14 2 4" xfId="1947"/>
    <cellStyle name="常规 14 2 4 2" xfId="8470"/>
    <cellStyle name="常规 14 2 5" xfId="1948"/>
    <cellStyle name="常规 14 2 5 2" xfId="9297"/>
    <cellStyle name="常规 14 2 6" xfId="6535"/>
    <cellStyle name="常规 14 3" xfId="1949"/>
    <cellStyle name="常规 14 3 2" xfId="1950"/>
    <cellStyle name="常规 14 3 2 2" xfId="6540"/>
    <cellStyle name="常规 14 3 3" xfId="1951"/>
    <cellStyle name="常规 14 3 3 2" xfId="5208"/>
    <cellStyle name="常规 14 3 4" xfId="1952"/>
    <cellStyle name="常规 14 3 4 2" xfId="5209"/>
    <cellStyle name="常规 14 3 5" xfId="6539"/>
    <cellStyle name="常规 14 4" xfId="1953"/>
    <cellStyle name="常规 14 4 2" xfId="1954"/>
    <cellStyle name="常规 14 4 2 2" xfId="5210"/>
    <cellStyle name="常规 14 4 3" xfId="6541"/>
    <cellStyle name="常规 14 5" xfId="1955"/>
    <cellStyle name="常规 14 5 2" xfId="8469"/>
    <cellStyle name="常规 14 6" xfId="1956"/>
    <cellStyle name="常规 14 6 2" xfId="8468"/>
    <cellStyle name="常规 14 7" xfId="6534"/>
    <cellStyle name="常规 14 8" xfId="8471"/>
    <cellStyle name="常规 15" xfId="1957"/>
    <cellStyle name="常规 15 2" xfId="1958"/>
    <cellStyle name="常规 15 2 2" xfId="1959"/>
    <cellStyle name="常规 15 2 2 2" xfId="1960"/>
    <cellStyle name="常规 15 2 2 2 2" xfId="6545"/>
    <cellStyle name="常规 15 2 2 3" xfId="1961"/>
    <cellStyle name="常规 15 2 2 3 2" xfId="5211"/>
    <cellStyle name="常规 15 2 2 4" xfId="1962"/>
    <cellStyle name="常规 15 2 2 4 2" xfId="9295"/>
    <cellStyle name="常规 15 2 2 5" xfId="6544"/>
    <cellStyle name="常规 15 2 3" xfId="1963"/>
    <cellStyle name="常规 15 2 3 2" xfId="1964"/>
    <cellStyle name="常规 15 2 3 2 2" xfId="9294"/>
    <cellStyle name="常规 15 2 3 3" xfId="6546"/>
    <cellStyle name="常规 15 2 4" xfId="1965"/>
    <cellStyle name="常规 15 2 4 2" xfId="8466"/>
    <cellStyle name="常规 15 2 5" xfId="1966"/>
    <cellStyle name="常规 15 2 5 2" xfId="9293"/>
    <cellStyle name="常规 15 2 6" xfId="6543"/>
    <cellStyle name="常规 15 3" xfId="1967"/>
    <cellStyle name="常规 15 3 2" xfId="1968"/>
    <cellStyle name="常规 15 3 2 2" xfId="6548"/>
    <cellStyle name="常规 15 3 3" xfId="1969"/>
    <cellStyle name="常规 15 3 3 2" xfId="5212"/>
    <cellStyle name="常规 15 3 4" xfId="1970"/>
    <cellStyle name="常规 15 3 4 2" xfId="5213"/>
    <cellStyle name="常规 15 3 5" xfId="6547"/>
    <cellStyle name="常规 15 4" xfId="1971"/>
    <cellStyle name="常规 15 4 2" xfId="1972"/>
    <cellStyle name="常规 15 4 2 2" xfId="5214"/>
    <cellStyle name="常规 15 4 3" xfId="6549"/>
    <cellStyle name="常规 15 5" xfId="1973"/>
    <cellStyle name="常规 15 5 2" xfId="8465"/>
    <cellStyle name="常规 15 6" xfId="1974"/>
    <cellStyle name="常规 15 6 2" xfId="8464"/>
    <cellStyle name="常规 15 7" xfId="6542"/>
    <cellStyle name="常规 15 8" xfId="8467"/>
    <cellStyle name="常规 16" xfId="1975"/>
    <cellStyle name="常规 16 2" xfId="1976"/>
    <cellStyle name="常规 16 2 2" xfId="1977"/>
    <cellStyle name="常规 16 2 2 2" xfId="1978"/>
    <cellStyle name="常规 16 2 2 2 2" xfId="6553"/>
    <cellStyle name="常规 16 2 2 3" xfId="1979"/>
    <cellStyle name="常规 16 2 2 3 2" xfId="5215"/>
    <cellStyle name="常规 16 2 2 4" xfId="1980"/>
    <cellStyle name="常规 16 2 2 4 2" xfId="9788"/>
    <cellStyle name="常规 16 2 2 5" xfId="6552"/>
    <cellStyle name="常规 16 2 3" xfId="1981"/>
    <cellStyle name="常规 16 2 3 2" xfId="6554"/>
    <cellStyle name="常规 16 2 4" xfId="1982"/>
    <cellStyle name="常规 16 2 4 2" xfId="8462"/>
    <cellStyle name="常规 16 2 5" xfId="1983"/>
    <cellStyle name="常规 16 2 5 2" xfId="9292"/>
    <cellStyle name="常规 16 2 6" xfId="6551"/>
    <cellStyle name="常规 16 3" xfId="1984"/>
    <cellStyle name="常规 16 3 2" xfId="1985"/>
    <cellStyle name="常规 16 3 2 2" xfId="6556"/>
    <cellStyle name="常规 16 3 3" xfId="1986"/>
    <cellStyle name="常规 16 3 3 2" xfId="5216"/>
    <cellStyle name="常规 16 3 4" xfId="1987"/>
    <cellStyle name="常规 16 3 4 2" xfId="9291"/>
    <cellStyle name="常规 16 3 5" xfId="6555"/>
    <cellStyle name="常规 16 4" xfId="1988"/>
    <cellStyle name="常规 16 4 2" xfId="1989"/>
    <cellStyle name="常规 16 4 2 2" xfId="5217"/>
    <cellStyle name="常规 16 4 3" xfId="6557"/>
    <cellStyle name="常规 16 5" xfId="1990"/>
    <cellStyle name="常规 16 5 2" xfId="8461"/>
    <cellStyle name="常规 16 6" xfId="1991"/>
    <cellStyle name="常规 16 6 2" xfId="8460"/>
    <cellStyle name="常规 16 7" xfId="6550"/>
    <cellStyle name="常规 16 8" xfId="8463"/>
    <cellStyle name="常规 17" xfId="1992"/>
    <cellStyle name="常规 17 2" xfId="1993"/>
    <cellStyle name="常规 17 2 2" xfId="1994"/>
    <cellStyle name="常规 17 2 2 2" xfId="1995"/>
    <cellStyle name="常规 17 2 2 2 2" xfId="6561"/>
    <cellStyle name="常规 17 2 2 3" xfId="1996"/>
    <cellStyle name="常规 17 2 2 3 2" xfId="9789"/>
    <cellStyle name="常规 17 2 2 4" xfId="1997"/>
    <cellStyle name="常规 17 2 2 4 2" xfId="5218"/>
    <cellStyle name="常规 17 2 2 5" xfId="6560"/>
    <cellStyle name="常规 17 2 3" xfId="1998"/>
    <cellStyle name="常规 17 2 3 2" xfId="6562"/>
    <cellStyle name="常规 17 2 4" xfId="1999"/>
    <cellStyle name="常规 17 2 4 2" xfId="8459"/>
    <cellStyle name="常规 17 2 5" xfId="2000"/>
    <cellStyle name="常规 17 2 5 2" xfId="9790"/>
    <cellStyle name="常规 17 2 6" xfId="6559"/>
    <cellStyle name="常规 17 3" xfId="2001"/>
    <cellStyle name="常规 17 3 2" xfId="2002"/>
    <cellStyle name="常规 17 3 2 2" xfId="6564"/>
    <cellStyle name="常规 17 3 3" xfId="2003"/>
    <cellStyle name="常规 17 3 3 2" xfId="5219"/>
    <cellStyle name="常规 17 3 4" xfId="2004"/>
    <cellStyle name="常规 17 3 4 2" xfId="9290"/>
    <cellStyle name="常规 17 3 5" xfId="6563"/>
    <cellStyle name="常规 17 4" xfId="2005"/>
    <cellStyle name="常规 17 4 2" xfId="2006"/>
    <cellStyle name="常规 17 4 2 2" xfId="6053"/>
    <cellStyle name="常规 17 4 3" xfId="6565"/>
    <cellStyle name="常规 17 5" xfId="2007"/>
    <cellStyle name="常规 17 5 2" xfId="8458"/>
    <cellStyle name="常规 17 6" xfId="2008"/>
    <cellStyle name="常规 17 6 2" xfId="9286"/>
    <cellStyle name="常规 17 7" xfId="6558"/>
    <cellStyle name="常规 18" xfId="2009"/>
    <cellStyle name="常规 18 2" xfId="2010"/>
    <cellStyle name="常规 18 2 2" xfId="2011"/>
    <cellStyle name="常规 18 2 2 2" xfId="2012"/>
    <cellStyle name="常规 18 2 2 2 2" xfId="6569"/>
    <cellStyle name="常规 18 2 2 3" xfId="2013"/>
    <cellStyle name="常规 18 2 2 3 2" xfId="6052"/>
    <cellStyle name="常规 18 2 2 4" xfId="2014"/>
    <cellStyle name="常规 18 2 2 4 2" xfId="9289"/>
    <cellStyle name="常规 18 2 2 5" xfId="6568"/>
    <cellStyle name="常规 18 2 3" xfId="2015"/>
    <cellStyle name="常规 18 2 3 2" xfId="6570"/>
    <cellStyle name="常规 18 2 4" xfId="2016"/>
    <cellStyle name="常规 18 2 4 2" xfId="8457"/>
    <cellStyle name="常规 18 2 5" xfId="2017"/>
    <cellStyle name="常规 18 2 5 2" xfId="9287"/>
    <cellStyle name="常规 18 2 6" xfId="6567"/>
    <cellStyle name="常规 18 3" xfId="2018"/>
    <cellStyle name="常规 18 3 2" xfId="2019"/>
    <cellStyle name="常规 18 3 2 2" xfId="5220"/>
    <cellStyle name="常规 18 3 3" xfId="8234"/>
    <cellStyle name="常规 18 4" xfId="2020"/>
    <cellStyle name="常规 18 4 2" xfId="9288"/>
    <cellStyle name="常规 18 5" xfId="2021"/>
    <cellStyle name="常规 18 5 2" xfId="5221"/>
    <cellStyle name="常规 18 6" xfId="6566"/>
    <cellStyle name="常规 19" xfId="2022"/>
    <cellStyle name="常规 19 2" xfId="2023"/>
    <cellStyle name="常规 19 2 2" xfId="2024"/>
    <cellStyle name="常规 19 2 2 2" xfId="2025"/>
    <cellStyle name="常规 19 2 2 2 2" xfId="6575"/>
    <cellStyle name="常规 19 2 2 3" xfId="2026"/>
    <cellStyle name="常规 19 2 2 3 2" xfId="6051"/>
    <cellStyle name="常规 19 2 2 4" xfId="2027"/>
    <cellStyle name="常规 19 2 2 4 2" xfId="9791"/>
    <cellStyle name="常规 19 2 2 5" xfId="6574"/>
    <cellStyle name="常规 19 2 3" xfId="2028"/>
    <cellStyle name="常规 19 2 3 2" xfId="6576"/>
    <cellStyle name="常规 19 2 4" xfId="2029"/>
    <cellStyle name="常规 19 2 4 2" xfId="8456"/>
    <cellStyle name="常规 19 2 5" xfId="2030"/>
    <cellStyle name="常规 19 2 5 2" xfId="5222"/>
    <cellStyle name="常规 19 2 6" xfId="6573"/>
    <cellStyle name="常规 19 3" xfId="2031"/>
    <cellStyle name="常规 19 3 2" xfId="2032"/>
    <cellStyle name="常规 19 3 2 2" xfId="6578"/>
    <cellStyle name="常规 19 3 3" xfId="2033"/>
    <cellStyle name="常规 19 3 3 2" xfId="9792"/>
    <cellStyle name="常规 19 3 4" xfId="2034"/>
    <cellStyle name="常规 19 3 4 2" xfId="9285"/>
    <cellStyle name="常规 19 3 5" xfId="6577"/>
    <cellStyle name="常规 19 4" xfId="2035"/>
    <cellStyle name="常规 19 4 2" xfId="2036"/>
    <cellStyle name="常规 19 4 2 2" xfId="5223"/>
    <cellStyle name="常规 19 4 3" xfId="6579"/>
    <cellStyle name="常规 19 5" xfId="2037"/>
    <cellStyle name="常规 19 5 2" xfId="8455"/>
    <cellStyle name="常规 19 6" xfId="2038"/>
    <cellStyle name="常规 19 6 2" xfId="5224"/>
    <cellStyle name="常规 19 7" xfId="6572"/>
    <cellStyle name="常规 2" xfId="2039"/>
    <cellStyle name="常规 2 10" xfId="2040"/>
    <cellStyle name="常规 2 10 2" xfId="8454"/>
    <cellStyle name="常规 2 10 3" xfId="9793"/>
    <cellStyle name="常规 2 11" xfId="2041"/>
    <cellStyle name="常规 2 11 2" xfId="8453"/>
    <cellStyle name="常规 2 11 3" xfId="9281"/>
    <cellStyle name="常规 2 12" xfId="4422"/>
    <cellStyle name="常规 2 12 2" xfId="8452"/>
    <cellStyle name="常规 2 12 3" xfId="8238"/>
    <cellStyle name="常规 2 2" xfId="2042"/>
    <cellStyle name="常规 2 2 2" xfId="2043"/>
    <cellStyle name="常规 2 2 2 10" xfId="8451"/>
    <cellStyle name="常规 2 2 2 2" xfId="2044"/>
    <cellStyle name="常规 2 2 2 2 2" xfId="2045"/>
    <cellStyle name="常规 2 2 2 2 2 2" xfId="2046"/>
    <cellStyle name="常规 2 2 2 2 2 2 2" xfId="2047"/>
    <cellStyle name="常规 2 2 2 2 2 2 2 2" xfId="9284"/>
    <cellStyle name="常规 2 2 2 2 2 2 3" xfId="4427"/>
    <cellStyle name="常规 2 2 2 2 2 3" xfId="2048"/>
    <cellStyle name="常规 2 2 2 2 2 3 2" xfId="5225"/>
    <cellStyle name="常规 2 2 2 2 2 4" xfId="4426"/>
    <cellStyle name="常规 2 2 2 2 2 4 2" xfId="6583"/>
    <cellStyle name="常规 2 2 2 2 2 5" xfId="8449"/>
    <cellStyle name="常规 2 2 2 2 3" xfId="2049"/>
    <cellStyle name="常规 2 2 2 2 3 2" xfId="2050"/>
    <cellStyle name="常规 2 2 2 2 3 2 2" xfId="9282"/>
    <cellStyle name="常规 2 2 2 2 3 3" xfId="4428"/>
    <cellStyle name="常规 2 2 2 2 4" xfId="2051"/>
    <cellStyle name="常规 2 2 2 2 4 2" xfId="5226"/>
    <cellStyle name="常规 2 2 2 2 5" xfId="2052"/>
    <cellStyle name="常规 2 2 2 2 5 2" xfId="5227"/>
    <cellStyle name="常规 2 2 2 2 6" xfId="2053"/>
    <cellStyle name="常规 2 2 2 2 6 2" xfId="9283"/>
    <cellStyle name="常规 2 2 2 2 7" xfId="4425"/>
    <cellStyle name="常规 2 2 2 2 7 2" xfId="6582"/>
    <cellStyle name="常规 2 2 2 2 8" xfId="8450"/>
    <cellStyle name="常规 2 2 2 3" xfId="2054"/>
    <cellStyle name="常规 2 2 2 3 2" xfId="2055"/>
    <cellStyle name="常规 2 2 2 3 2 2" xfId="2056"/>
    <cellStyle name="常规 2 2 2 3 2 2 2" xfId="5228"/>
    <cellStyle name="常规 2 2 2 3 2 3" xfId="4430"/>
    <cellStyle name="常规 2 2 2 3 3" xfId="2057"/>
    <cellStyle name="常规 2 2 2 3 3 2" xfId="5229"/>
    <cellStyle name="常规 2 2 2 3 4" xfId="2058"/>
    <cellStyle name="常规 2 2 2 3 4 2" xfId="9258"/>
    <cellStyle name="常规 2 2 2 3 5" xfId="2059"/>
    <cellStyle name="常规 2 2 2 3 5 2" xfId="6058"/>
    <cellStyle name="常规 2 2 2 3 6" xfId="4429"/>
    <cellStyle name="常规 2 2 2 3 6 2" xfId="6584"/>
    <cellStyle name="常规 2 2 2 3 7" xfId="8448"/>
    <cellStyle name="常规 2 2 2 4" xfId="2060"/>
    <cellStyle name="常规 2 2 2 4 2" xfId="2061"/>
    <cellStyle name="常规 2 2 2 4 2 2" xfId="5230"/>
    <cellStyle name="常规 2 2 2 4 3" xfId="4431"/>
    <cellStyle name="常规 2 2 2 5" xfId="2062"/>
    <cellStyle name="常规 2 2 2 5 2" xfId="8446"/>
    <cellStyle name="常规 2 2 2 5 3" xfId="9794"/>
    <cellStyle name="常规 2 2 2 6" xfId="2063"/>
    <cellStyle name="常规 2 2 2 6 2" xfId="8445"/>
    <cellStyle name="常规 2 2 2 6 3" xfId="5231"/>
    <cellStyle name="常规 2 2 2 7" xfId="2064"/>
    <cellStyle name="常规 2 2 2 7 2" xfId="9279"/>
    <cellStyle name="常规 2 2 2 8" xfId="2065"/>
    <cellStyle name="常规 2 2 2 8 2" xfId="9280"/>
    <cellStyle name="常规 2 2 2 9" xfId="4424"/>
    <cellStyle name="常规 2 2 2 9 2" xfId="8240"/>
    <cellStyle name="常规 2 2 3" xfId="2066"/>
    <cellStyle name="常规 2 2 3 10" xfId="8444"/>
    <cellStyle name="常规 2 2 3 2" xfId="2067"/>
    <cellStyle name="常规 2 2 3 2 2" xfId="2068"/>
    <cellStyle name="常规 2 2 3 2 2 2" xfId="2069"/>
    <cellStyle name="常规 2 2 3 2 2 2 2" xfId="2070"/>
    <cellStyle name="常规 2 2 3 2 2 2 2 2" xfId="5232"/>
    <cellStyle name="常规 2 2 3 2 2 2 3" xfId="4435"/>
    <cellStyle name="常规 2 2 3 2 2 3" xfId="2071"/>
    <cellStyle name="常规 2 2 3 2 2 3 2" xfId="9278"/>
    <cellStyle name="常规 2 2 3 2 2 4" xfId="4434"/>
    <cellStyle name="常规 2 2 3 2 2 4 2" xfId="6587"/>
    <cellStyle name="常规 2 2 3 2 2 4 3" xfId="9939"/>
    <cellStyle name="常规 2 2 3 2 2 5" xfId="8242"/>
    <cellStyle name="常规 2 2 3 2 2 6" xfId="8442"/>
    <cellStyle name="常规 2 2 3 2 3" xfId="2072"/>
    <cellStyle name="常规 2 2 3 2 3 2" xfId="2073"/>
    <cellStyle name="常规 2 2 3 2 3 2 2" xfId="9277"/>
    <cellStyle name="常规 2 2 3 2 3 3" xfId="4436"/>
    <cellStyle name="常规 2 2 3 2 4" xfId="2074"/>
    <cellStyle name="常规 2 2 3 2 4 2" xfId="5233"/>
    <cellStyle name="常规 2 2 3 2 5" xfId="2075"/>
    <cellStyle name="常规 2 2 3 2 5 2" xfId="9275"/>
    <cellStyle name="常规 2 2 3 2 6" xfId="2076"/>
    <cellStyle name="常规 2 2 3 2 6 2" xfId="9276"/>
    <cellStyle name="常规 2 2 3 2 7" xfId="4433"/>
    <cellStyle name="常规 2 2 3 2 7 2" xfId="6586"/>
    <cellStyle name="常规 2 2 3 2 8" xfId="8443"/>
    <cellStyle name="常规 2 2 3 3" xfId="2077"/>
    <cellStyle name="常规 2 2 3 3 2" xfId="2078"/>
    <cellStyle name="常规 2 2 3 3 2 2" xfId="2079"/>
    <cellStyle name="常规 2 2 3 3 2 2 2" xfId="9269"/>
    <cellStyle name="常规 2 2 3 3 2 3" xfId="4438"/>
    <cellStyle name="常规 2 2 3 3 3" xfId="2080"/>
    <cellStyle name="常规 2 2 3 3 3 2" xfId="5234"/>
    <cellStyle name="常规 2 2 3 3 4" xfId="2081"/>
    <cellStyle name="常规 2 2 3 3 4 2" xfId="9795"/>
    <cellStyle name="常规 2 2 3 3 5" xfId="2082"/>
    <cellStyle name="常规 2 2 3 3 5 2" xfId="5235"/>
    <cellStyle name="常规 2 2 3 3 6" xfId="4437"/>
    <cellStyle name="常规 2 2 3 3 6 2" xfId="8243"/>
    <cellStyle name="常规 2 2 3 3 7" xfId="8441"/>
    <cellStyle name="常规 2 2 3 4" xfId="2083"/>
    <cellStyle name="常规 2 2 3 4 2" xfId="2084"/>
    <cellStyle name="常规 2 2 3 4 2 2" xfId="9274"/>
    <cellStyle name="常规 2 2 3 4 3" xfId="4439"/>
    <cellStyle name="常规 2 2 3 4 3 2" xfId="6589"/>
    <cellStyle name="常规 2 2 3 4 3 3" xfId="9037"/>
    <cellStyle name="常规 2 2 3 4 4" xfId="8244"/>
    <cellStyle name="常规 2 2 3 4 5" xfId="8439"/>
    <cellStyle name="常规 2 2 3 5" xfId="2085"/>
    <cellStyle name="常规 2 2 3 5 2" xfId="8438"/>
    <cellStyle name="常规 2 2 3 5 3" xfId="5236"/>
    <cellStyle name="常规 2 2 3 6" xfId="2086"/>
    <cellStyle name="常规 2 2 3 6 2" xfId="8437"/>
    <cellStyle name="常规 2 2 3 6 3" xfId="9270"/>
    <cellStyle name="常规 2 2 3 7" xfId="2087"/>
    <cellStyle name="常规 2 2 3 7 2" xfId="5237"/>
    <cellStyle name="常规 2 2 3 8" xfId="2088"/>
    <cellStyle name="常规 2 2 3 8 2" xfId="9273"/>
    <cellStyle name="常规 2 2 3 9" xfId="4432"/>
    <cellStyle name="常规 2 2 3 9 2" xfId="6585"/>
    <cellStyle name="常规 2 2 4" xfId="2089"/>
    <cellStyle name="常规 2 2 4 2" xfId="2090"/>
    <cellStyle name="常规 2 2 4 2 2" xfId="6591"/>
    <cellStyle name="常规 2 2 4 2 2 2" xfId="5661"/>
    <cellStyle name="常规 2 2 4 2 3" xfId="8246"/>
    <cellStyle name="常规 2 2 4 2 4" xfId="9272"/>
    <cellStyle name="常规 2 2 4 3" xfId="2091"/>
    <cellStyle name="常规 2 2 4 3 2" xfId="5238"/>
    <cellStyle name="常规 2 2 4 4" xfId="2092"/>
    <cellStyle name="常规 2 2 4 4 2" xfId="9271"/>
    <cellStyle name="常规 2 2 4 5" xfId="4440"/>
    <cellStyle name="常规 2 2 4 5 2" xfId="6590"/>
    <cellStyle name="常规 2 2 4 6" xfId="8436"/>
    <cellStyle name="常规 2 2 5" xfId="2093"/>
    <cellStyle name="常规 2 2 5 2" xfId="2094"/>
    <cellStyle name="常规 2 2 5 2 2" xfId="5239"/>
    <cellStyle name="常规 2 2 5 3" xfId="4441"/>
    <cellStyle name="常规 2 2 5 3 2" xfId="8435"/>
    <cellStyle name="常规 2 2 6" xfId="2095"/>
    <cellStyle name="常规 2 2 6 2" xfId="2096"/>
    <cellStyle name="常规 2 2 6 2 2" xfId="5241"/>
    <cellStyle name="常规 2 2 6 3" xfId="8434"/>
    <cellStyle name="常规 2 2 6 4" xfId="5240"/>
    <cellStyle name="常规 2 2 7" xfId="2097"/>
    <cellStyle name="常规 2 2 7 2" xfId="2098"/>
    <cellStyle name="常规 2 2 7 2 2" xfId="6070"/>
    <cellStyle name="常规 2 2 7 3" xfId="8433"/>
    <cellStyle name="常规 2 2 7 4" xfId="9263"/>
    <cellStyle name="常规 2 2 8" xfId="2099"/>
    <cellStyle name="常规 2 2 8 2" xfId="8432"/>
    <cellStyle name="常规 2 2 8 3" xfId="9796"/>
    <cellStyle name="常规 2 2 9" xfId="4423"/>
    <cellStyle name="常规 2 2 9 2" xfId="8431"/>
    <cellStyle name="常规 2 2 9 3" xfId="8239"/>
    <cellStyle name="常规 2 3" xfId="2100"/>
    <cellStyle name="常规 2 3 2" xfId="2101"/>
    <cellStyle name="常规 2 3 2 2" xfId="2102"/>
    <cellStyle name="常规 2 3 2 2 2" xfId="6595"/>
    <cellStyle name="常规 2 3 2 2 2 2" xfId="8248"/>
    <cellStyle name="常规 2 3 2 2 3" xfId="6594"/>
    <cellStyle name="常规 2 3 2 3" xfId="2103"/>
    <cellStyle name="常规 2 3 2 3 2" xfId="8430"/>
    <cellStyle name="常规 2 3 2 3 3" xfId="5242"/>
    <cellStyle name="常规 2 3 2 4" xfId="2104"/>
    <cellStyle name="常规 2 3 2 4 2" xfId="9264"/>
    <cellStyle name="常规 2 3 2 5" xfId="2105"/>
    <cellStyle name="常规 2 3 2 5 2" xfId="5243"/>
    <cellStyle name="常规 2 3 2 6" xfId="2106"/>
    <cellStyle name="常规 2 3 2 6 2" xfId="9268"/>
    <cellStyle name="常规 2 3 2 7" xfId="4443"/>
    <cellStyle name="常规 2 3 3" xfId="2107"/>
    <cellStyle name="常规 2 3 3 2" xfId="2108"/>
    <cellStyle name="常规 2 3 3 2 2" xfId="6597"/>
    <cellStyle name="常规 2 3 3 2 2 2" xfId="5662"/>
    <cellStyle name="常规 2 3 3 2 3" xfId="8249"/>
    <cellStyle name="常规 2 3 3 2 4" xfId="9267"/>
    <cellStyle name="常规 2 3 3 3" xfId="4444"/>
    <cellStyle name="常规 2 3 3 3 2" xfId="8250"/>
    <cellStyle name="常规 2 3 3 3 3" xfId="6598"/>
    <cellStyle name="常规 2 3 3 4" xfId="6596"/>
    <cellStyle name="常规 2 3 3 5" xfId="8429"/>
    <cellStyle name="常规 2 3 4" xfId="2109"/>
    <cellStyle name="常规 2 3 4 2" xfId="6600"/>
    <cellStyle name="常规 2 3 4 2 2" xfId="8251"/>
    <cellStyle name="常规 2 3 4 3" xfId="6599"/>
    <cellStyle name="常规 2 3 5" xfId="2110"/>
    <cellStyle name="常规 2 3 5 2" xfId="8428"/>
    <cellStyle name="常规 2 3 5 3" xfId="9265"/>
    <cellStyle name="常规 2 3 6" xfId="2111"/>
    <cellStyle name="常规 2 3 6 2" xfId="9266"/>
    <cellStyle name="常规 2 3 7" xfId="2112"/>
    <cellStyle name="常规 2 3 7 2" xfId="5244"/>
    <cellStyle name="常规 2 3 8" xfId="2113"/>
    <cellStyle name="常规 2 3 8 2" xfId="5245"/>
    <cellStyle name="常规 2 3 9" xfId="4442"/>
    <cellStyle name="常规 2 3 9 2" xfId="8247"/>
    <cellStyle name="常规 2 4" xfId="2114"/>
    <cellStyle name="常规 2 4 2" xfId="2115"/>
    <cellStyle name="常规 2 4 2 2" xfId="2116"/>
    <cellStyle name="常规 2 4 2 2 2" xfId="6603"/>
    <cellStyle name="常规 2 4 2 2 2 2" xfId="8253"/>
    <cellStyle name="常规 2 4 2 2 3" xfId="6602"/>
    <cellStyle name="常规 2 4 2 3" xfId="2117"/>
    <cellStyle name="常规 2 4 2 3 2" xfId="8254"/>
    <cellStyle name="常规 2 4 2 4" xfId="2118"/>
    <cellStyle name="常规 2 4 2 4 2" xfId="8255"/>
    <cellStyle name="常规 2 4 2 5" xfId="2119"/>
    <cellStyle name="常规 2 4 2 5 2" xfId="9262"/>
    <cellStyle name="常规 2 4 2 6" xfId="4446"/>
    <cellStyle name="常规 2 4 3" xfId="2120"/>
    <cellStyle name="常规 2 4 3 2" xfId="2121"/>
    <cellStyle name="常规 2 4 3 2 2" xfId="6607"/>
    <cellStyle name="常规 2 4 3 2 2 2" xfId="9036"/>
    <cellStyle name="常规 2 4 3 2 3" xfId="8256"/>
    <cellStyle name="常规 2 4 3 2 4" xfId="5246"/>
    <cellStyle name="常规 2 4 3 3" xfId="6606"/>
    <cellStyle name="常规 2 4 4" xfId="2122"/>
    <cellStyle name="常规 2 4 4 2" xfId="8427"/>
    <cellStyle name="常规 2 4 5" xfId="2123"/>
    <cellStyle name="常规 2 4 5 2" xfId="5247"/>
    <cellStyle name="常规 2 4 6" xfId="4445"/>
    <cellStyle name="常规 2 5" xfId="2124"/>
    <cellStyle name="常规 2 5 2" xfId="2125"/>
    <cellStyle name="常规 2 5 2 2" xfId="2126"/>
    <cellStyle name="常规 2 5 2 2 2" xfId="6609"/>
    <cellStyle name="常规 2 5 2 2 3" xfId="9261"/>
    <cellStyle name="常规 2 5 2 3" xfId="6608"/>
    <cellStyle name="常规 2 5 3" xfId="2127"/>
    <cellStyle name="常规 2 5 3 2" xfId="6610"/>
    <cellStyle name="常规 2 5 4" xfId="2128"/>
    <cellStyle name="常规 2 5 4 2" xfId="9259"/>
    <cellStyle name="常规 2 5 5" xfId="2129"/>
    <cellStyle name="常规 2 5 5 2" xfId="9260"/>
    <cellStyle name="常规 2 5 6" xfId="2130"/>
    <cellStyle name="常规 2 5 6 2" xfId="5248"/>
    <cellStyle name="常规 2 5 7" xfId="4447"/>
    <cellStyle name="常规 2 6" xfId="2131"/>
    <cellStyle name="常规 2 6 2" xfId="2132"/>
    <cellStyle name="常规 2 6 2 2" xfId="2133"/>
    <cellStyle name="常规 2 6 2 2 2" xfId="6613"/>
    <cellStyle name="常规 2 6 2 2 2 2" xfId="9035"/>
    <cellStyle name="常规 2 6 2 2 3" xfId="8258"/>
    <cellStyle name="常规 2 6 2 2 4" xfId="5249"/>
    <cellStyle name="常规 2 6 2 3" xfId="6612"/>
    <cellStyle name="常规 2 6 3" xfId="2134"/>
    <cellStyle name="常规 2 6 3 2" xfId="8259"/>
    <cellStyle name="常规 2 6 4" xfId="2135"/>
    <cellStyle name="常规 2 6 4 2" xfId="8260"/>
    <cellStyle name="常规 2 6 5" xfId="2136"/>
    <cellStyle name="常规 2 6 5 2" xfId="5250"/>
    <cellStyle name="常规 2 6 6" xfId="4448"/>
    <cellStyle name="常规 2 6 6 2" xfId="6611"/>
    <cellStyle name="常规 2 7" xfId="2137"/>
    <cellStyle name="常规 2 7 2" xfId="2138"/>
    <cellStyle name="常规 2 7 2 2" xfId="2139"/>
    <cellStyle name="常规 2 7 2 2 2" xfId="9257"/>
    <cellStyle name="常规 2 7 2 3" xfId="8261"/>
    <cellStyle name="常规 2 7 3" xfId="2140"/>
    <cellStyle name="常规 2 7 3 2" xfId="5251"/>
    <cellStyle name="常规 2 7 4" xfId="2141"/>
    <cellStyle name="常规 2 7 4 2" xfId="9256"/>
    <cellStyle name="常规 2 7 5" xfId="6616"/>
    <cellStyle name="常规 2 8" xfId="2142"/>
    <cellStyle name="常规 2 8 2" xfId="2143"/>
    <cellStyle name="常规 2 8 2 2" xfId="2144"/>
    <cellStyle name="常规 2 8 2 2 2" xfId="8263"/>
    <cellStyle name="常规 2 8 2 3" xfId="2145"/>
    <cellStyle name="常规 2 8 2 3 2" xfId="9254"/>
    <cellStyle name="常规 2 8 2 4" xfId="2146"/>
    <cellStyle name="常规 2 8 2 4 2" xfId="9255"/>
    <cellStyle name="常规 2 8 2 5" xfId="6619"/>
    <cellStyle name="常规 2 8 3" xfId="2147"/>
    <cellStyle name="常规 2 8 3 2" xfId="8264"/>
    <cellStyle name="常规 2 8 4" xfId="2148"/>
    <cellStyle name="常规 2 8 4 2" xfId="5252"/>
    <cellStyle name="常规 2 8 5" xfId="2149"/>
    <cellStyle name="常规 2 8 5 2" xfId="9797"/>
    <cellStyle name="常规 2 8 6" xfId="6618"/>
    <cellStyle name="常规 2 9" xfId="2150"/>
    <cellStyle name="常规 2 9 2" xfId="2151"/>
    <cellStyle name="常规 2 9 2 2" xfId="6623"/>
    <cellStyle name="常规 2 9 2 2 2" xfId="5663"/>
    <cellStyle name="常规 2 9 2 3" xfId="8265"/>
    <cellStyle name="常规 2 9 2 4" xfId="5253"/>
    <cellStyle name="常规 2 9 3" xfId="6622"/>
    <cellStyle name="常规 20" xfId="2152"/>
    <cellStyle name="常规 20 2" xfId="2153"/>
    <cellStyle name="常规 20 2 2" xfId="2154"/>
    <cellStyle name="常规 20 2 2 2" xfId="2155"/>
    <cellStyle name="常规 20 2 2 2 2" xfId="6627"/>
    <cellStyle name="常规 20 2 2 3" xfId="2156"/>
    <cellStyle name="常规 20 2 2 3 2" xfId="9252"/>
    <cellStyle name="常规 20 2 2 4" xfId="2157"/>
    <cellStyle name="常规 20 2 2 4 2" xfId="9253"/>
    <cellStyle name="常规 20 2 2 5" xfId="6626"/>
    <cellStyle name="常规 20 2 3" xfId="2158"/>
    <cellStyle name="常规 20 2 3 2" xfId="2159"/>
    <cellStyle name="常规 20 2 3 2 2" xfId="5254"/>
    <cellStyle name="常规 20 2 3 3" xfId="6628"/>
    <cellStyle name="常规 20 2 4" xfId="2160"/>
    <cellStyle name="常规 20 2 4 2" xfId="8426"/>
    <cellStyle name="常规 20 2 5" xfId="2161"/>
    <cellStyle name="常规 20 2 5 2" xfId="9248"/>
    <cellStyle name="常规 20 2 6" xfId="6625"/>
    <cellStyle name="常规 20 3" xfId="2162"/>
    <cellStyle name="常规 20 3 2" xfId="2163"/>
    <cellStyle name="常规 20 3 2 2" xfId="6630"/>
    <cellStyle name="常规 20 3 3" xfId="2164"/>
    <cellStyle name="常规 20 3 3 2" xfId="5255"/>
    <cellStyle name="常规 20 3 4" xfId="2165"/>
    <cellStyle name="常规 20 3 4 2" xfId="9251"/>
    <cellStyle name="常规 20 3 5" xfId="6629"/>
    <cellStyle name="常规 20 4" xfId="2166"/>
    <cellStyle name="常规 20 4 2" xfId="2167"/>
    <cellStyle name="常规 20 4 2 2" xfId="5256"/>
    <cellStyle name="常规 20 4 3" xfId="6631"/>
    <cellStyle name="常规 20 5" xfId="2168"/>
    <cellStyle name="常规 20 5 2" xfId="8425"/>
    <cellStyle name="常规 20 6" xfId="2169"/>
    <cellStyle name="常规 20 6 2" xfId="5257"/>
    <cellStyle name="常规 20 7" xfId="6624"/>
    <cellStyle name="常规 21" xfId="2170"/>
    <cellStyle name="常规 21 2" xfId="2171"/>
    <cellStyle name="常规 21 2 2" xfId="2172"/>
    <cellStyle name="常规 21 2 2 2" xfId="2173"/>
    <cellStyle name="常规 21 2 2 2 2" xfId="6635"/>
    <cellStyle name="常规 21 2 2 3" xfId="2174"/>
    <cellStyle name="常规 21 2 2 3 2" xfId="9249"/>
    <cellStyle name="常规 21 2 2 4" xfId="2175"/>
    <cellStyle name="常规 21 2 2 4 2" xfId="9250"/>
    <cellStyle name="常规 21 2 2 5" xfId="6634"/>
    <cellStyle name="常规 21 2 3" xfId="2176"/>
    <cellStyle name="常规 21 2 3 2" xfId="2177"/>
    <cellStyle name="常规 21 2 3 2 2" xfId="8577"/>
    <cellStyle name="常规 21 2 3 3" xfId="6636"/>
    <cellStyle name="常规 21 2 4" xfId="2178"/>
    <cellStyle name="常规 21 2 4 2" xfId="8424"/>
    <cellStyle name="常规 21 2 5" xfId="2179"/>
    <cellStyle name="常规 21 2 5 2" xfId="9244"/>
    <cellStyle name="常规 21 2 6" xfId="6633"/>
    <cellStyle name="常规 21 3" xfId="2180"/>
    <cellStyle name="常规 21 3 2" xfId="2181"/>
    <cellStyle name="常规 21 3 2 2" xfId="6638"/>
    <cellStyle name="常规 21 3 3" xfId="2182"/>
    <cellStyle name="常规 21 3 3 2" xfId="8578"/>
    <cellStyle name="常规 21 3 4" xfId="2183"/>
    <cellStyle name="常规 21 3 4 2" xfId="9247"/>
    <cellStyle name="常规 21 3 5" xfId="6637"/>
    <cellStyle name="常规 21 4" xfId="2184"/>
    <cellStyle name="常规 21 4 2" xfId="2185"/>
    <cellStyle name="常规 21 4 2 2" xfId="5258"/>
    <cellStyle name="常规 21 4 3" xfId="6639"/>
    <cellStyle name="常规 21 5" xfId="2186"/>
    <cellStyle name="常规 21 5 2" xfId="8423"/>
    <cellStyle name="常规 21 6" xfId="2187"/>
    <cellStyle name="常规 21 6 2" xfId="5259"/>
    <cellStyle name="常规 21 7" xfId="6632"/>
    <cellStyle name="常规 22" xfId="2188"/>
    <cellStyle name="常规 22 2" xfId="2189"/>
    <cellStyle name="常规 22 2 2" xfId="2190"/>
    <cellStyle name="常规 22 2 2 2" xfId="2191"/>
    <cellStyle name="常规 22 2 2 2 2" xfId="6643"/>
    <cellStyle name="常规 22 2 2 3" xfId="2192"/>
    <cellStyle name="常规 22 2 2 3 2" xfId="9245"/>
    <cellStyle name="常规 22 2 2 4" xfId="2193"/>
    <cellStyle name="常规 22 2 2 4 2" xfId="9246"/>
    <cellStyle name="常规 22 2 2 5" xfId="6642"/>
    <cellStyle name="常规 22 2 3" xfId="2194"/>
    <cellStyle name="常规 22 2 3 2" xfId="2195"/>
    <cellStyle name="常规 22 2 3 2 2" xfId="5260"/>
    <cellStyle name="常规 22 2 3 3" xfId="6644"/>
    <cellStyle name="常规 22 2 4" xfId="2196"/>
    <cellStyle name="常规 22 2 4 2" xfId="8422"/>
    <cellStyle name="常规 22 2 5" xfId="2197"/>
    <cellStyle name="常规 22 2 5 2" xfId="9241"/>
    <cellStyle name="常规 22 2 6" xfId="6641"/>
    <cellStyle name="常规 22 3" xfId="2198"/>
    <cellStyle name="常规 22 3 2" xfId="2199"/>
    <cellStyle name="常规 22 3 2 2" xfId="6646"/>
    <cellStyle name="常规 22 3 3" xfId="2200"/>
    <cellStyle name="常规 22 3 3 2" xfId="5261"/>
    <cellStyle name="常规 22 3 4" xfId="2201"/>
    <cellStyle name="常规 22 3 4 2" xfId="9243"/>
    <cellStyle name="常规 22 3 5" xfId="6645"/>
    <cellStyle name="常规 22 4" xfId="2202"/>
    <cellStyle name="常规 22 4 2" xfId="2203"/>
    <cellStyle name="常规 22 4 2 2" xfId="5262"/>
    <cellStyle name="常规 22 4 3" xfId="6647"/>
    <cellStyle name="常规 22 5" xfId="2204"/>
    <cellStyle name="常规 22 5 2" xfId="8421"/>
    <cellStyle name="常规 22 6" xfId="2205"/>
    <cellStyle name="常规 22 6 2" xfId="5263"/>
    <cellStyle name="常规 22 7" xfId="6640"/>
    <cellStyle name="常规 23" xfId="2206"/>
    <cellStyle name="常规 23 2" xfId="2207"/>
    <cellStyle name="常规 23 2 2" xfId="8280"/>
    <cellStyle name="常规 23 3" xfId="6648"/>
    <cellStyle name="常规 24" xfId="2208"/>
    <cellStyle name="常规 24 2" xfId="8420"/>
    <cellStyle name="常规 24 3" xfId="9242"/>
    <cellStyle name="常规 25" xfId="2209"/>
    <cellStyle name="常规 25 2" xfId="8419"/>
    <cellStyle name="常规 26" xfId="3992"/>
    <cellStyle name="常规 3" xfId="2210"/>
    <cellStyle name="常规 3 10" xfId="2211"/>
    <cellStyle name="常规 3 10 2" xfId="2212"/>
    <cellStyle name="常规 3 10 2 2" xfId="2213"/>
    <cellStyle name="常规 3 10 2 2 2" xfId="6652"/>
    <cellStyle name="常规 3 10 2 2 2 2" xfId="8282"/>
    <cellStyle name="常规 3 10 2 2 3" xfId="6651"/>
    <cellStyle name="常规 3 10 2 3" xfId="2214"/>
    <cellStyle name="常规 3 10 2 3 2" xfId="8283"/>
    <cellStyle name="常规 3 10 2 4" xfId="2215"/>
    <cellStyle name="常规 3 10 2 4 2" xfId="8284"/>
    <cellStyle name="常规 3 10 2 5" xfId="2216"/>
    <cellStyle name="常规 3 10 2 5 2" xfId="5264"/>
    <cellStyle name="常规 3 10 2 6" xfId="6650"/>
    <cellStyle name="常规 3 10 3" xfId="2217"/>
    <cellStyle name="常规 3 10 3 2" xfId="6655"/>
    <cellStyle name="常规 3 10 3 2 2" xfId="8285"/>
    <cellStyle name="常规 3 10 3 3" xfId="6654"/>
    <cellStyle name="常规 3 10 4" xfId="2218"/>
    <cellStyle name="常规 3 10 4 2" xfId="8418"/>
    <cellStyle name="常规 3 10 5" xfId="2219"/>
    <cellStyle name="常规 3 10 5 2" xfId="9240"/>
    <cellStyle name="常规 3 11" xfId="2220"/>
    <cellStyle name="常规 3 11 2" xfId="2221"/>
    <cellStyle name="常规 3 11 2 2" xfId="2222"/>
    <cellStyle name="常规 3 11 2 2 2" xfId="6659"/>
    <cellStyle name="常规 3 11 2 2 2 2" xfId="8288"/>
    <cellStyle name="常规 3 11 2 2 3" xfId="6658"/>
    <cellStyle name="常规 3 11 2 3" xfId="2223"/>
    <cellStyle name="常规 3 11 2 3 2" xfId="8289"/>
    <cellStyle name="常规 3 11 2 4" xfId="2224"/>
    <cellStyle name="常规 3 11 2 4 2" xfId="8290"/>
    <cellStyle name="常规 3 11 2 5" xfId="2225"/>
    <cellStyle name="常规 3 11 2 5 2" xfId="5265"/>
    <cellStyle name="常规 3 11 2 6" xfId="6657"/>
    <cellStyle name="常规 3 11 3" xfId="2226"/>
    <cellStyle name="常规 3 11 3 2" xfId="6662"/>
    <cellStyle name="常规 3 11 3 2 2" xfId="8291"/>
    <cellStyle name="常规 3 11 3 3" xfId="6661"/>
    <cellStyle name="常规 3 11 4" xfId="2227"/>
    <cellStyle name="常规 3 11 4 2" xfId="8417"/>
    <cellStyle name="常规 3 11 5" xfId="2228"/>
    <cellStyle name="常规 3 11 5 2" xfId="9239"/>
    <cellStyle name="常规 3 12" xfId="2229"/>
    <cellStyle name="常规 3 12 2" xfId="2230"/>
    <cellStyle name="常规 3 12 2 2" xfId="6665"/>
    <cellStyle name="常规 3 12 2 3" xfId="6664"/>
    <cellStyle name="常规 3 12 3" xfId="2231"/>
    <cellStyle name="常规 3 12 3 2" xfId="6666"/>
    <cellStyle name="常规 3 12 4" xfId="2232"/>
    <cellStyle name="常规 3 12 4 2" xfId="6667"/>
    <cellStyle name="常规 3 12 4 2 2" xfId="9034"/>
    <cellStyle name="常规 3 12 4 3" xfId="8293"/>
    <cellStyle name="常规 3 12 4 4" xfId="5266"/>
    <cellStyle name="常规 3 12 5" xfId="2233"/>
    <cellStyle name="常规 3 12 5 2" xfId="6668"/>
    <cellStyle name="常规 3 12 5 2 2" xfId="5664"/>
    <cellStyle name="常规 3 12 5 3" xfId="8294"/>
    <cellStyle name="常规 3 12 5 4" xfId="9237"/>
    <cellStyle name="常规 3 12 6" xfId="6663"/>
    <cellStyle name="常规 3 13" xfId="2234"/>
    <cellStyle name="常规 3 13 2" xfId="2235"/>
    <cellStyle name="常规 3 13 2 2" xfId="8295"/>
    <cellStyle name="常规 3 13 3" xfId="2236"/>
    <cellStyle name="常规 3 13 3 2" xfId="5267"/>
    <cellStyle name="常规 3 13 4" xfId="2237"/>
    <cellStyle name="常规 3 13 4 2" xfId="9238"/>
    <cellStyle name="常规 3 13 5" xfId="6669"/>
    <cellStyle name="常规 3 14" xfId="2238"/>
    <cellStyle name="常规 3 14 2" xfId="2239"/>
    <cellStyle name="常规 3 14 2 2" xfId="8296"/>
    <cellStyle name="常规 3 14 3" xfId="6670"/>
    <cellStyle name="常规 3 15" xfId="2240"/>
    <cellStyle name="常规 3 15 2" xfId="2241"/>
    <cellStyle name="常规 3 15 2 2" xfId="5268"/>
    <cellStyle name="常规 3 15 3" xfId="8416"/>
    <cellStyle name="常规 3 16" xfId="2242"/>
    <cellStyle name="常规 3 16 2" xfId="8415"/>
    <cellStyle name="常规 3 17" xfId="4449"/>
    <cellStyle name="常规 3 2" xfId="2243"/>
    <cellStyle name="常规 3 2 2" xfId="2244"/>
    <cellStyle name="常规 3 2 2 2" xfId="2245"/>
    <cellStyle name="常规 3 2 2 2 2" xfId="2246"/>
    <cellStyle name="常规 3 2 2 2 2 2" xfId="2247"/>
    <cellStyle name="常规 3 2 2 2 2 2 2" xfId="8298"/>
    <cellStyle name="常规 3 2 2 2 2 3" xfId="2248"/>
    <cellStyle name="常规 3 2 2 2 2 3 2" xfId="5269"/>
    <cellStyle name="常规 3 2 2 2 2 4" xfId="4453"/>
    <cellStyle name="常规 3 2 2 2 3" xfId="2249"/>
    <cellStyle name="常规 3 2 2 2 3 2" xfId="8299"/>
    <cellStyle name="常规 3 2 2 2 4" xfId="2250"/>
    <cellStyle name="常规 3 2 2 2 4 2" xfId="8300"/>
    <cellStyle name="常规 3 2 2 2 5" xfId="2251"/>
    <cellStyle name="常规 3 2 2 2 5 2" xfId="9234"/>
    <cellStyle name="常规 3 2 2 2 6" xfId="4452"/>
    <cellStyle name="常规 3 2 2 3" xfId="2252"/>
    <cellStyle name="常规 3 2 2 3 2" xfId="2253"/>
    <cellStyle name="常规 3 2 2 3 2 2" xfId="8301"/>
    <cellStyle name="常规 3 2 2 3 3" xfId="2254"/>
    <cellStyle name="常规 3 2 2 3 3 2" xfId="5270"/>
    <cellStyle name="常规 3 2 2 3 4" xfId="2255"/>
    <cellStyle name="常规 3 2 2 3 4 2" xfId="9798"/>
    <cellStyle name="常规 3 2 2 3 5" xfId="4454"/>
    <cellStyle name="常规 3 2 2 4" xfId="2256"/>
    <cellStyle name="常规 3 2 2 4 2" xfId="4455"/>
    <cellStyle name="常规 3 2 2 4 2 2" xfId="8414"/>
    <cellStyle name="常规 3 2 2 5" xfId="2257"/>
    <cellStyle name="常规 3 2 2 5 2" xfId="8413"/>
    <cellStyle name="常规 3 2 2 6" xfId="4451"/>
    <cellStyle name="常规 3 2 3" xfId="2258"/>
    <cellStyle name="常规 3 2 3 2" xfId="2259"/>
    <cellStyle name="常规 3 2 3 2 2" xfId="2260"/>
    <cellStyle name="常规 3 2 3 2 2 2" xfId="6677"/>
    <cellStyle name="常规 3 2 3 2 2 3" xfId="9799"/>
    <cellStyle name="常规 3 2 3 2 3" xfId="2261"/>
    <cellStyle name="常规 3 2 3 2 3 2" xfId="9235"/>
    <cellStyle name="常规 3 2 3 2 4" xfId="2262"/>
    <cellStyle name="常规 3 2 3 2 4 2" xfId="5271"/>
    <cellStyle name="常规 3 2 3 2 5" xfId="4457"/>
    <cellStyle name="常规 3 2 3 2 5 2" xfId="6676"/>
    <cellStyle name="常规 3 2 3 2 6" xfId="8412"/>
    <cellStyle name="常规 3 2 3 3" xfId="2263"/>
    <cellStyle name="常规 3 2 3 3 2" xfId="6678"/>
    <cellStyle name="常规 3 2 3 4" xfId="2264"/>
    <cellStyle name="常规 3 2 3 4 2" xfId="8302"/>
    <cellStyle name="常规 3 2 3 4 3" xfId="8411"/>
    <cellStyle name="常规 3 2 3 5" xfId="2265"/>
    <cellStyle name="常规 3 2 3 5 2" xfId="8303"/>
    <cellStyle name="常规 3 2 3 6" xfId="2266"/>
    <cellStyle name="常规 3 2 3 6 2" xfId="5272"/>
    <cellStyle name="常规 3 2 3 7" xfId="2267"/>
    <cellStyle name="常规 3 2 3 7 2" xfId="9236"/>
    <cellStyle name="常规 3 2 3 8" xfId="4456"/>
    <cellStyle name="常规 3 2 4" xfId="2268"/>
    <cellStyle name="常规 3 2 4 2" xfId="2269"/>
    <cellStyle name="常规 3 2 4 2 2" xfId="2270"/>
    <cellStyle name="常规 3 2 4 2 2 2" xfId="5273"/>
    <cellStyle name="常规 3 2 4 2 3" xfId="8304"/>
    <cellStyle name="常规 3 2 4 3" xfId="2271"/>
    <cellStyle name="常规 3 2 4 3 2" xfId="8410"/>
    <cellStyle name="常规 3 2 4 4" xfId="2272"/>
    <cellStyle name="常规 3 2 4 4 2" xfId="9229"/>
    <cellStyle name="常规 3 2 4 5" xfId="4458"/>
    <cellStyle name="常规 3 2 5" xfId="2273"/>
    <cellStyle name="常规 3 2 5 2" xfId="2274"/>
    <cellStyle name="常规 3 2 5 2 2" xfId="8305"/>
    <cellStyle name="常规 3 2 5 3" xfId="4459"/>
    <cellStyle name="常规 3 2 5 3 2" xfId="6681"/>
    <cellStyle name="常规 3 2 6" xfId="2275"/>
    <cellStyle name="常规 3 2 6 2" xfId="8409"/>
    <cellStyle name="常规 3 2 6 3" xfId="5274"/>
    <cellStyle name="常规 3 2 7" xfId="2276"/>
    <cellStyle name="常规 3 2 7 2" xfId="8408"/>
    <cellStyle name="常规 3 2 7 3" xfId="9800"/>
    <cellStyle name="常规 3 2 8" xfId="4450"/>
    <cellStyle name="常规 3 3" xfId="2277"/>
    <cellStyle name="常规 3 3 2" xfId="2278"/>
    <cellStyle name="常规 3 3 2 2" xfId="2279"/>
    <cellStyle name="常规 3 3 2 2 2" xfId="2280"/>
    <cellStyle name="常规 3 3 2 2 2 2" xfId="2281"/>
    <cellStyle name="常规 3 3 2 2 2 2 2" xfId="9232"/>
    <cellStyle name="常规 3 3 2 2 2 3" xfId="4463"/>
    <cellStyle name="常规 3 3 2 2 3" xfId="2282"/>
    <cellStyle name="常规 3 3 2 2 3 2" xfId="6142"/>
    <cellStyle name="常规 3 3 2 2 4" xfId="2283"/>
    <cellStyle name="常规 3 3 2 2 4 2" xfId="5275"/>
    <cellStyle name="常规 3 3 2 2 5" xfId="2284"/>
    <cellStyle name="常规 3 3 2 2 5 2" xfId="9233"/>
    <cellStyle name="常规 3 3 2 2 6" xfId="4462"/>
    <cellStyle name="常规 3 3 2 3" xfId="2285"/>
    <cellStyle name="常规 3 3 2 3 2" xfId="2286"/>
    <cellStyle name="常规 3 3 2 3 2 2" xfId="5276"/>
    <cellStyle name="常规 3 3 2 3 3" xfId="4464"/>
    <cellStyle name="常规 3 3 2 4" xfId="2287"/>
    <cellStyle name="常规 3 3 2 4 2" xfId="8407"/>
    <cellStyle name="常规 3 3 2 5" xfId="2288"/>
    <cellStyle name="常规 3 3 2 5 2" xfId="8406"/>
    <cellStyle name="常规 3 3 2 6" xfId="4461"/>
    <cellStyle name="常规 3 3 3" xfId="2289"/>
    <cellStyle name="常规 3 3 3 2" xfId="2290"/>
    <cellStyle name="常规 3 3 3 2 2" xfId="2291"/>
    <cellStyle name="常规 3 3 3 2 2 2" xfId="5277"/>
    <cellStyle name="常规 3 3 3 2 3" xfId="4466"/>
    <cellStyle name="常规 3 3 3 3" xfId="2292"/>
    <cellStyle name="常规 3 3 3 3 2" xfId="8307"/>
    <cellStyle name="常规 3 3 3 4" xfId="2293"/>
    <cellStyle name="常规 3 3 3 4 2" xfId="5278"/>
    <cellStyle name="常规 3 3 3 5" xfId="2294"/>
    <cellStyle name="常规 3 3 3 5 2" xfId="9231"/>
    <cellStyle name="常规 3 3 3 6" xfId="4465"/>
    <cellStyle name="常规 3 3 4" xfId="2295"/>
    <cellStyle name="常规 3 3 4 2" xfId="2296"/>
    <cellStyle name="常规 3 3 4 2 2" xfId="8308"/>
    <cellStyle name="常规 3 3 4 3" xfId="2297"/>
    <cellStyle name="常规 3 3 4 3 2" xfId="9230"/>
    <cellStyle name="常规 3 3 4 4" xfId="4467"/>
    <cellStyle name="常规 3 3 5" xfId="2298"/>
    <cellStyle name="常规 3 3 5 2" xfId="8405"/>
    <cellStyle name="常规 3 3 6" xfId="2299"/>
    <cellStyle name="常规 3 3 6 2" xfId="8404"/>
    <cellStyle name="常规 3 3 7" xfId="4460"/>
    <cellStyle name="常规 3 3 7 2" xfId="8306"/>
    <cellStyle name="常规 3 4" xfId="2300"/>
    <cellStyle name="常规 3 4 2" xfId="2301"/>
    <cellStyle name="常规 3 4 2 2" xfId="2302"/>
    <cellStyle name="常规 3 4 2 2 2" xfId="2303"/>
    <cellStyle name="常规 3 4 2 2 2 2" xfId="6689"/>
    <cellStyle name="常规 3 4 2 2 2 2 2" xfId="9033"/>
    <cellStyle name="常规 3 4 2 2 2 3" xfId="8309"/>
    <cellStyle name="常规 3 4 2 2 2 4" xfId="5279"/>
    <cellStyle name="常规 3 4 2 2 3" xfId="2304"/>
    <cellStyle name="常规 3 4 2 2 3 2" xfId="5280"/>
    <cellStyle name="常规 3 4 2 2 4" xfId="4470"/>
    <cellStyle name="常规 3 4 2 2 4 2" xfId="6688"/>
    <cellStyle name="常规 3 4 2 2 5" xfId="8402"/>
    <cellStyle name="常规 3 4 2 3" xfId="2305"/>
    <cellStyle name="常规 3 4 2 3 2" xfId="8310"/>
    <cellStyle name="常规 3 4 2 4" xfId="2306"/>
    <cellStyle name="常规 3 4 2 4 2" xfId="6690"/>
    <cellStyle name="常规 3 4 2 4 2 2" xfId="5665"/>
    <cellStyle name="常规 3 4 2 4 3" xfId="8311"/>
    <cellStyle name="常规 3 4 2 4 4" xfId="6149"/>
    <cellStyle name="常规 3 4 2 5" xfId="2307"/>
    <cellStyle name="常规 3 4 2 5 2" xfId="9801"/>
    <cellStyle name="常规 3 4 2 6" xfId="2308"/>
    <cellStyle name="常规 3 4 2 6 2" xfId="5281"/>
    <cellStyle name="常规 3 4 2 7" xfId="2309"/>
    <cellStyle name="常规 3 4 2 7 2" xfId="9802"/>
    <cellStyle name="常规 3 4 2 8" xfId="4469"/>
    <cellStyle name="常规 3 4 2 8 2" xfId="6687"/>
    <cellStyle name="常规 3 4 2 9" xfId="8403"/>
    <cellStyle name="常规 3 4 3" xfId="2310"/>
    <cellStyle name="常规 3 4 3 2" xfId="2311"/>
    <cellStyle name="常规 3 4 3 2 2" xfId="6692"/>
    <cellStyle name="常规 3 4 3 2 2 2" xfId="6885"/>
    <cellStyle name="常规 3 4 3 2 3" xfId="8313"/>
    <cellStyle name="常规 3 4 3 2 4" xfId="9803"/>
    <cellStyle name="常规 3 4 3 3" xfId="2312"/>
    <cellStyle name="常规 3 4 3 3 2" xfId="5282"/>
    <cellStyle name="常规 3 4 3 4" xfId="2313"/>
    <cellStyle name="常规 3 4 3 4 2" xfId="9804"/>
    <cellStyle name="常规 3 4 3 5" xfId="4471"/>
    <cellStyle name="常规 3 4 3 5 2" xfId="6691"/>
    <cellStyle name="常规 3 4 3 6" xfId="8401"/>
    <cellStyle name="常规 3 4 4" xfId="2314"/>
    <cellStyle name="常规 3 4 4 2" xfId="8400"/>
    <cellStyle name="常规 3 4 5" xfId="2315"/>
    <cellStyle name="常规 3 4 5 2" xfId="8399"/>
    <cellStyle name="常规 3 4 5 3" xfId="6148"/>
    <cellStyle name="常规 3 4 6" xfId="2316"/>
    <cellStyle name="常规 3 4 6 2" xfId="8398"/>
    <cellStyle name="常规 3 4 7" xfId="2317"/>
    <cellStyle name="常规 3 4 7 2" xfId="9228"/>
    <cellStyle name="常规 3 4 8" xfId="4468"/>
    <cellStyle name="常规 3 5" xfId="2318"/>
    <cellStyle name="常规 3 5 2" xfId="2319"/>
    <cellStyle name="常规 3 5 2 2" xfId="2320"/>
    <cellStyle name="常规 3 5 2 2 2" xfId="6695"/>
    <cellStyle name="常规 3 5 2 2 2 2" xfId="8315"/>
    <cellStyle name="常规 3 5 2 2 3" xfId="6694"/>
    <cellStyle name="常规 3 5 2 3" xfId="2321"/>
    <cellStyle name="常规 3 5 2 3 2" xfId="8316"/>
    <cellStyle name="常规 3 5 2 4" xfId="2322"/>
    <cellStyle name="常规 3 5 2 4 2" xfId="6696"/>
    <cellStyle name="常规 3 5 2 4 2 2" xfId="5666"/>
    <cellStyle name="常规 3 5 2 4 3" xfId="8317"/>
    <cellStyle name="常规 3 5 2 4 4" xfId="5283"/>
    <cellStyle name="常规 3 5 2 5" xfId="2323"/>
    <cellStyle name="常规 3 5 2 5 2" xfId="6153"/>
    <cellStyle name="常规 3 5 2 6" xfId="2324"/>
    <cellStyle name="常规 3 5 2 6 2" xfId="5284"/>
    <cellStyle name="常规 3 5 2 7" xfId="2325"/>
    <cellStyle name="常规 3 5 2 7 2" xfId="9227"/>
    <cellStyle name="常规 3 5 2 8" xfId="4473"/>
    <cellStyle name="常规 3 5 2 8 2" xfId="6693"/>
    <cellStyle name="常规 3 5 2 9" xfId="8397"/>
    <cellStyle name="常规 3 5 3" xfId="2326"/>
    <cellStyle name="常规 3 5 3 2" xfId="2327"/>
    <cellStyle name="常规 3 5 3 2 2" xfId="8318"/>
    <cellStyle name="常规 3 5 3 3" xfId="6697"/>
    <cellStyle name="常规 3 5 3 4" xfId="8396"/>
    <cellStyle name="常规 3 5 4" xfId="2328"/>
    <cellStyle name="常规 3 5 4 2" xfId="8395"/>
    <cellStyle name="常规 3 5 4 3" xfId="6147"/>
    <cellStyle name="常规 3 5 5" xfId="2329"/>
    <cellStyle name="常规 3 5 5 2" xfId="8394"/>
    <cellStyle name="常规 3 5 5 3" xfId="9805"/>
    <cellStyle name="常规 3 5 6" xfId="2330"/>
    <cellStyle name="常规 3 5 6 2" xfId="9226"/>
    <cellStyle name="常规 3 5 7" xfId="2331"/>
    <cellStyle name="常规 3 5 7 2" xfId="5285"/>
    <cellStyle name="常规 3 5 8" xfId="4472"/>
    <cellStyle name="常规 3 6" xfId="2332"/>
    <cellStyle name="常规 3 6 2" xfId="2333"/>
    <cellStyle name="常规 3 6 2 2" xfId="2334"/>
    <cellStyle name="常规 3 6 2 2 2" xfId="6702"/>
    <cellStyle name="常规 3 6 2 2 2 2" xfId="8322"/>
    <cellStyle name="常规 3 6 2 2 3" xfId="6701"/>
    <cellStyle name="常规 3 6 2 3" xfId="2335"/>
    <cellStyle name="常规 3 6 2 3 2" xfId="8323"/>
    <cellStyle name="常规 3 6 2 4" xfId="2336"/>
    <cellStyle name="常规 3 6 2 4 2" xfId="8324"/>
    <cellStyle name="常规 3 6 2 5" xfId="2337"/>
    <cellStyle name="常规 3 6 2 5 2" xfId="5286"/>
    <cellStyle name="常规 3 6 2 6" xfId="6700"/>
    <cellStyle name="常规 3 6 2 7" xfId="8393"/>
    <cellStyle name="常规 3 6 3" xfId="2338"/>
    <cellStyle name="常规 3 6 3 2" xfId="2339"/>
    <cellStyle name="常规 3 6 3 2 2" xfId="6705"/>
    <cellStyle name="常规 3 6 3 2 2 2" xfId="9032"/>
    <cellStyle name="常规 3 6 3 2 3" xfId="8325"/>
    <cellStyle name="常规 3 6 3 2 4" xfId="5287"/>
    <cellStyle name="常规 3 6 3 3" xfId="6704"/>
    <cellStyle name="常规 3 6 4" xfId="2340"/>
    <cellStyle name="常规 3 6 4 2" xfId="8392"/>
    <cellStyle name="常规 3 6 4 3" xfId="5288"/>
    <cellStyle name="常规 3 6 5" xfId="2341"/>
    <cellStyle name="常规 3 6 5 2" xfId="5289"/>
    <cellStyle name="常规 3 6 6" xfId="2342"/>
    <cellStyle name="常规 3 6 6 2" xfId="9806"/>
    <cellStyle name="常规 3 6 7" xfId="2343"/>
    <cellStyle name="常规 3 6 7 2" xfId="6155"/>
    <cellStyle name="常规 3 6 8" xfId="4474"/>
    <cellStyle name="常规 3 7" xfId="2344"/>
    <cellStyle name="常规 3 7 2" xfId="2345"/>
    <cellStyle name="常规 3 7 2 2" xfId="2346"/>
    <cellStyle name="常规 3 7 2 2 2" xfId="6709"/>
    <cellStyle name="常规 3 7 2 2 2 2" xfId="8328"/>
    <cellStyle name="常规 3 7 2 2 3" xfId="6708"/>
    <cellStyle name="常规 3 7 2 3" xfId="2347"/>
    <cellStyle name="常规 3 7 2 3 2" xfId="8329"/>
    <cellStyle name="常规 3 7 2 4" xfId="2348"/>
    <cellStyle name="常规 3 7 2 4 2" xfId="8330"/>
    <cellStyle name="常规 3 7 2 5" xfId="2349"/>
    <cellStyle name="常规 3 7 2 5 2" xfId="9223"/>
    <cellStyle name="常规 3 7 2 6" xfId="6707"/>
    <cellStyle name="常规 3 7 3" xfId="2350"/>
    <cellStyle name="常规 3 7 3 2" xfId="2351"/>
    <cellStyle name="常规 3 7 3 2 2" xfId="6713"/>
    <cellStyle name="常规 3 7 3 2 2 2" xfId="5667"/>
    <cellStyle name="常规 3 7 3 2 3" xfId="8332"/>
    <cellStyle name="常规 3 7 3 2 4" xfId="9225"/>
    <cellStyle name="常规 3 7 3 3" xfId="6712"/>
    <cellStyle name="常规 3 7 4" xfId="2352"/>
    <cellStyle name="常规 3 7 4 2" xfId="8391"/>
    <cellStyle name="常规 3 7 5" xfId="2353"/>
    <cellStyle name="常规 3 7 5 2" xfId="9224"/>
    <cellStyle name="常规 3 7 6" xfId="4475"/>
    <cellStyle name="常规 3 8" xfId="2354"/>
    <cellStyle name="常规 3 8 2" xfId="2355"/>
    <cellStyle name="常规 3 8 2 2" xfId="2356"/>
    <cellStyle name="常规 3 8 2 2 2" xfId="6716"/>
    <cellStyle name="常规 3 8 2 2 2 2" xfId="8334"/>
    <cellStyle name="常规 3 8 2 2 3" xfId="6715"/>
    <cellStyle name="常规 3 8 2 3" xfId="2357"/>
    <cellStyle name="常规 3 8 2 3 2" xfId="8335"/>
    <cellStyle name="常规 3 8 2 4" xfId="2358"/>
    <cellStyle name="常规 3 8 2 4 2" xfId="8336"/>
    <cellStyle name="常规 3 8 2 5" xfId="2359"/>
    <cellStyle name="常规 3 8 2 5 2" xfId="9220"/>
    <cellStyle name="常规 3 8 2 6" xfId="6714"/>
    <cellStyle name="常规 3 8 3" xfId="2360"/>
    <cellStyle name="常规 3 8 3 2" xfId="2361"/>
    <cellStyle name="常规 3 8 3 2 2" xfId="6720"/>
    <cellStyle name="常规 3 8 3 2 2 2" xfId="5668"/>
    <cellStyle name="常规 3 8 3 2 3" xfId="8337"/>
    <cellStyle name="常规 3 8 3 2 4" xfId="9807"/>
    <cellStyle name="常规 3 8 3 3" xfId="6719"/>
    <cellStyle name="常规 3 8 4" xfId="2362"/>
    <cellStyle name="常规 3 8 4 2" xfId="8390"/>
    <cellStyle name="常规 3 8 5" xfId="2363"/>
    <cellStyle name="常规 3 8 5 2" xfId="9222"/>
    <cellStyle name="常规 3 8 6" xfId="4476"/>
    <cellStyle name="常规 3 9" xfId="2364"/>
    <cellStyle name="常规 3 9 2" xfId="2365"/>
    <cellStyle name="常规 3 9 2 2" xfId="2366"/>
    <cellStyle name="常规 3 9 2 2 2" xfId="6723"/>
    <cellStyle name="常规 3 9 2 2 2 2" xfId="8340"/>
    <cellStyle name="常规 3 9 2 2 3" xfId="6722"/>
    <cellStyle name="常规 3 9 2 3" xfId="2367"/>
    <cellStyle name="常规 3 9 2 3 2" xfId="8341"/>
    <cellStyle name="常规 3 9 2 4" xfId="2368"/>
    <cellStyle name="常规 3 9 2 4 2" xfId="8342"/>
    <cellStyle name="常规 3 9 2 5" xfId="2369"/>
    <cellStyle name="常规 3 9 2 5 2" xfId="5290"/>
    <cellStyle name="常规 3 9 2 6" xfId="6721"/>
    <cellStyle name="常规 3 9 3" xfId="2370"/>
    <cellStyle name="常规 3 9 3 2" xfId="2371"/>
    <cellStyle name="常规 3 9 3 2 2" xfId="6726"/>
    <cellStyle name="常规 3 9 3 2 2 2" xfId="9031"/>
    <cellStyle name="常规 3 9 3 2 3" xfId="8344"/>
    <cellStyle name="常规 3 9 3 2 4" xfId="5291"/>
    <cellStyle name="常规 3 9 3 3" xfId="6725"/>
    <cellStyle name="常规 3 9 4" xfId="2372"/>
    <cellStyle name="常规 3 9 4 2" xfId="8389"/>
    <cellStyle name="常规 3 9 5" xfId="2373"/>
    <cellStyle name="常规 3 9 5 2" xfId="9221"/>
    <cellStyle name="常规 3_2017年预算 - 县区12-19" xfId="2374"/>
    <cellStyle name="常规 4" xfId="2375"/>
    <cellStyle name="常规 4 10" xfId="4477"/>
    <cellStyle name="常规 4 2" xfId="2376"/>
    <cellStyle name="常规 4 2 2" xfId="2377"/>
    <cellStyle name="常规 4 2 2 2" xfId="2378"/>
    <cellStyle name="常规 4 2 2 2 2" xfId="6728"/>
    <cellStyle name="常规 4 2 2 3" xfId="2379"/>
    <cellStyle name="常规 4 2 2 3 2" xfId="8388"/>
    <cellStyle name="常规 4 2 2 4" xfId="2380"/>
    <cellStyle name="常规 4 2 2 4 2" xfId="5292"/>
    <cellStyle name="常规 4 2 2 5" xfId="4479"/>
    <cellStyle name="常规 4 2 3" xfId="2381"/>
    <cellStyle name="常规 4 2 3 2" xfId="2382"/>
    <cellStyle name="常规 4 2 3 2 2" xfId="6730"/>
    <cellStyle name="常规 4 2 3 3" xfId="4480"/>
    <cellStyle name="常规 4 2 3 3 2" xfId="6729"/>
    <cellStyle name="常规 4 2 4" xfId="2383"/>
    <cellStyle name="常规 4 2 4 2" xfId="8387"/>
    <cellStyle name="常规 4 2 5" xfId="2384"/>
    <cellStyle name="常规 4 2 5 2" xfId="9219"/>
    <cellStyle name="常规 4 2 6" xfId="4478"/>
    <cellStyle name="常规 4 3" xfId="2385"/>
    <cellStyle name="常规 4 3 2" xfId="2386"/>
    <cellStyle name="常规 4 3 2 2" xfId="6732"/>
    <cellStyle name="常规 4 3 2 3" xfId="6731"/>
    <cellStyle name="常规 4 3 3" xfId="2387"/>
    <cellStyle name="常规 4 3 3 2" xfId="6733"/>
    <cellStyle name="常规 4 3 4" xfId="2388"/>
    <cellStyle name="常规 4 3 4 2" xfId="6734"/>
    <cellStyle name="常规 4 3 5" xfId="2389"/>
    <cellStyle name="常规 4 3 5 2" xfId="6735"/>
    <cellStyle name="常规 4 3 5 2 2" xfId="5669"/>
    <cellStyle name="常规 4 3 5 3" xfId="8350"/>
    <cellStyle name="常规 4 3 5 4" xfId="5293"/>
    <cellStyle name="常规 4 3 6" xfId="4481"/>
    <cellStyle name="常规 4 4" xfId="2390"/>
    <cellStyle name="常规 4 4 2" xfId="2391"/>
    <cellStyle name="常规 4 4 2 2" xfId="6738"/>
    <cellStyle name="常规 4 4 2 3" xfId="6737"/>
    <cellStyle name="常规 4 4 3" xfId="2392"/>
    <cellStyle name="常规 4 4 3 2" xfId="6739"/>
    <cellStyle name="常规 4 4 4" xfId="2393"/>
    <cellStyle name="常规 4 4 4 2" xfId="5294"/>
    <cellStyle name="常规 4 4 5" xfId="2394"/>
    <cellStyle name="常规 4 4 5 2" xfId="5295"/>
    <cellStyle name="常规 4 4 6" xfId="4482"/>
    <cellStyle name="常规 4 4 6 2" xfId="8351"/>
    <cellStyle name="常规 4 5" xfId="2395"/>
    <cellStyle name="常规 4 5 2" xfId="2396"/>
    <cellStyle name="常规 4 5 2 2" xfId="8354"/>
    <cellStyle name="常规 4 5 3" xfId="2397"/>
    <cellStyle name="常规 4 5 3 2" xfId="9808"/>
    <cellStyle name="常规 4 5 4" xfId="2398"/>
    <cellStyle name="常规 4 5 4 2" xfId="5296"/>
    <cellStyle name="常规 4 5 5" xfId="4483"/>
    <cellStyle name="常规 4 6" xfId="2399"/>
    <cellStyle name="常规 4 6 2" xfId="2400"/>
    <cellStyle name="常规 4 6 2 2" xfId="2401"/>
    <cellStyle name="常规 4 6 2 2 2" xfId="6743"/>
    <cellStyle name="常规 4 6 2 3" xfId="2402"/>
    <cellStyle name="常规 4 6 2 3 2" xfId="9216"/>
    <cellStyle name="常规 4 6 2 4" xfId="2403"/>
    <cellStyle name="常规 4 6 2 4 2" xfId="5297"/>
    <cellStyle name="常规 4 6 2 5" xfId="6742"/>
    <cellStyle name="常规 4 6 3" xfId="2404"/>
    <cellStyle name="常规 4 6 3 2" xfId="6744"/>
    <cellStyle name="常规 4 6 4" xfId="2405"/>
    <cellStyle name="常规 4 6 4 2" xfId="5298"/>
    <cellStyle name="常规 4 6 5" xfId="2406"/>
    <cellStyle name="常规 4 6 5 2" xfId="9218"/>
    <cellStyle name="常规 4 6 6" xfId="6741"/>
    <cellStyle name="常规 4 7" xfId="2407"/>
    <cellStyle name="常规 4 7 2" xfId="2408"/>
    <cellStyle name="常规 4 7 2 2" xfId="6746"/>
    <cellStyle name="常规 4 7 2 3" xfId="9217"/>
    <cellStyle name="常规 4 7 3" xfId="6745"/>
    <cellStyle name="常规 4 8" xfId="2409"/>
    <cellStyle name="常规 4 8 2" xfId="2410"/>
    <cellStyle name="常规 4 8 2 2" xfId="5299"/>
    <cellStyle name="常规 4 8 3" xfId="8383"/>
    <cellStyle name="常规 4 9" xfId="2411"/>
    <cellStyle name="常规 4 9 2" xfId="5300"/>
    <cellStyle name="常规 5" xfId="2412"/>
    <cellStyle name="常规 5 2" xfId="2413"/>
    <cellStyle name="常规 5 2 2" xfId="2414"/>
    <cellStyle name="常规 5 2 2 2" xfId="2415"/>
    <cellStyle name="常规 5 2 2 2 2" xfId="2416"/>
    <cellStyle name="常规 5 2 2 2 2 2" xfId="9810"/>
    <cellStyle name="常规 5 2 2 2 3" xfId="2417"/>
    <cellStyle name="常规 5 2 2 2 3 2" xfId="5301"/>
    <cellStyle name="常规 5 2 2 2 4" xfId="4487"/>
    <cellStyle name="常规 5 2 2 2 4 2" xfId="6748"/>
    <cellStyle name="常规 5 2 2 2 5" xfId="8381"/>
    <cellStyle name="常规 5 2 2 3" xfId="2418"/>
    <cellStyle name="常规 5 2 2 3 2" xfId="8380"/>
    <cellStyle name="常规 5 2 2 3 3" xfId="5302"/>
    <cellStyle name="常规 5 2 2 4" xfId="2419"/>
    <cellStyle name="常规 5 2 2 4 2" xfId="8379"/>
    <cellStyle name="常规 5 2 2 4 3" xfId="9809"/>
    <cellStyle name="常规 5 2 2 5" xfId="2420"/>
    <cellStyle name="常规 5 2 2 5 2" xfId="5303"/>
    <cellStyle name="常规 5 2 2 6" xfId="2421"/>
    <cellStyle name="常规 5 2 2 6 2" xfId="5304"/>
    <cellStyle name="常规 5 2 2 7" xfId="4486"/>
    <cellStyle name="常规 5 2 2 7 2" xfId="6747"/>
    <cellStyle name="常规 5 2 2 8" xfId="8382"/>
    <cellStyle name="常规 5 2 3" xfId="2422"/>
    <cellStyle name="常规 5 2 3 2" xfId="2423"/>
    <cellStyle name="常规 5 2 3 2 2" xfId="6750"/>
    <cellStyle name="常规 5 2 3 2 3" xfId="9213"/>
    <cellStyle name="常规 5 2 3 3" xfId="2424"/>
    <cellStyle name="常规 5 2 3 3 2" xfId="5305"/>
    <cellStyle name="常规 5 2 3 4" xfId="2425"/>
    <cellStyle name="常规 5 2 3 4 2" xfId="9811"/>
    <cellStyle name="常规 5 2 3 5" xfId="4488"/>
    <cellStyle name="常规 5 2 3 5 2" xfId="6749"/>
    <cellStyle name="常规 5 2 3 6" xfId="8378"/>
    <cellStyle name="常规 5 2 4" xfId="2426"/>
    <cellStyle name="常规 5 2 4 2" xfId="6751"/>
    <cellStyle name="常规 5 2 5" xfId="2427"/>
    <cellStyle name="常规 5 2 5 2" xfId="8362"/>
    <cellStyle name="常规 5 2 5 3" xfId="8376"/>
    <cellStyle name="常规 5 2 6" xfId="2428"/>
    <cellStyle name="常规 5 2 6 2" xfId="8363"/>
    <cellStyle name="常规 5 2 6 3" xfId="8375"/>
    <cellStyle name="常规 5 2 7" xfId="2429"/>
    <cellStyle name="常规 5 2 7 2" xfId="5306"/>
    <cellStyle name="常规 5 2 8" xfId="2430"/>
    <cellStyle name="常规 5 2 8 2" xfId="9214"/>
    <cellStyle name="常规 5 2 9" xfId="4485"/>
    <cellStyle name="常规 5 3" xfId="2431"/>
    <cellStyle name="常规 5 3 2" xfId="2432"/>
    <cellStyle name="常规 5 3 2 2" xfId="2433"/>
    <cellStyle name="常规 5 3 2 2 2" xfId="5307"/>
    <cellStyle name="常规 5 3 2 3" xfId="2434"/>
    <cellStyle name="常规 5 3 2 3 2" xfId="9215"/>
    <cellStyle name="常规 5 3 2 4" xfId="4490"/>
    <cellStyle name="常规 5 3 3" xfId="2435"/>
    <cellStyle name="常规 5 3 3 2" xfId="8374"/>
    <cellStyle name="常规 5 3 4" xfId="2436"/>
    <cellStyle name="常规 5 3 4 2" xfId="8373"/>
    <cellStyle name="常规 5 3 5" xfId="4489"/>
    <cellStyle name="常规 5 4" xfId="2437"/>
    <cellStyle name="常规 5 4 2" xfId="2438"/>
    <cellStyle name="常规 5 4 2 2" xfId="8366"/>
    <cellStyle name="常规 5 4 3" xfId="2439"/>
    <cellStyle name="常规 5 4 3 2" xfId="5308"/>
    <cellStyle name="常规 5 4 4" xfId="2440"/>
    <cellStyle name="常规 5 4 5" xfId="4491"/>
    <cellStyle name="常规 5 5" xfId="2441"/>
    <cellStyle name="常规 5 5 2" xfId="2442"/>
    <cellStyle name="常规 5 5 2 2" xfId="5309"/>
    <cellStyle name="常规 5 5 3" xfId="8372"/>
    <cellStyle name="常规 5 6" xfId="2443"/>
    <cellStyle name="常规 5 6 2" xfId="8371"/>
    <cellStyle name="常规 5 7" xfId="4484"/>
    <cellStyle name="常规 6" xfId="2444"/>
    <cellStyle name="常规 6 2" xfId="2445"/>
    <cellStyle name="常规 6 2 2" xfId="2446"/>
    <cellStyle name="常规 6 2 2 2" xfId="2447"/>
    <cellStyle name="常规 6 2 2 2 2" xfId="2448"/>
    <cellStyle name="常规 6 2 2 2 2 2" xfId="9211"/>
    <cellStyle name="常规 6 2 2 2 3" xfId="4495"/>
    <cellStyle name="常规 6 2 2 3" xfId="2449"/>
    <cellStyle name="常规 6 2 2 3 2" xfId="8368"/>
    <cellStyle name="常规 6 2 2 4" xfId="2450"/>
    <cellStyle name="常规 6 2 2 4 2" xfId="8367"/>
    <cellStyle name="常规 6 2 2 5" xfId="4494"/>
    <cellStyle name="常规 6 2 3" xfId="2451"/>
    <cellStyle name="常规 6 2 3 2" xfId="2452"/>
    <cellStyle name="常规 6 2 3 2 2" xfId="9212"/>
    <cellStyle name="常规 6 2 3 3" xfId="2453"/>
    <cellStyle name="常规 6 2 3 3 2" xfId="5310"/>
    <cellStyle name="常规 6 2 3 4" xfId="4496"/>
    <cellStyle name="常规 6 2 4" xfId="2454"/>
    <cellStyle name="常规 6 2 4 2" xfId="8365"/>
    <cellStyle name="常规 6 2 5" xfId="2455"/>
    <cellStyle name="常规 6 2 5 2" xfId="8364"/>
    <cellStyle name="常规 6 2 6" xfId="4493"/>
    <cellStyle name="常规 6 3" xfId="2456"/>
    <cellStyle name="常规 6 3 2" xfId="2457"/>
    <cellStyle name="常规 6 3 2 2" xfId="2458"/>
    <cellStyle name="常规 6 3 2 2 2" xfId="2459"/>
    <cellStyle name="常规 6 3 2 2 2 2" xfId="9205"/>
    <cellStyle name="常规 6 3 2 2 3" xfId="4499"/>
    <cellStyle name="常规 6 3 2 3" xfId="2460"/>
    <cellStyle name="常规 6 3 2 3 2" xfId="5312"/>
    <cellStyle name="常规 6 3 2 4" xfId="2461"/>
    <cellStyle name="常规 6 3 2 4 2" xfId="9812"/>
    <cellStyle name="常规 6 3 2 5" xfId="4498"/>
    <cellStyle name="常规 6 3 3" xfId="2462"/>
    <cellStyle name="常规 6 3 3 2" xfId="2463"/>
    <cellStyle name="常规 6 3 3 2 2" xfId="9209"/>
    <cellStyle name="常规 6 3 3 3" xfId="4500"/>
    <cellStyle name="常规 6 3 4" xfId="2464"/>
    <cellStyle name="常规 6 3 4 2" xfId="9210"/>
    <cellStyle name="常规 6 3 5" xfId="2465"/>
    <cellStyle name="常规 6 3 5 2" xfId="5313"/>
    <cellStyle name="常规 6 3 6" xfId="2466"/>
    <cellStyle name="常规 6 3 6 2" xfId="9206"/>
    <cellStyle name="常规 6 3 7" xfId="4497"/>
    <cellStyle name="常规 6 3 7 2" xfId="6755"/>
    <cellStyle name="常规 6 3 8" xfId="8361"/>
    <cellStyle name="常规 6 3 9" xfId="5311"/>
    <cellStyle name="常规 6 4" xfId="2467"/>
    <cellStyle name="常规 6 4 2" xfId="2468"/>
    <cellStyle name="常规 6 4 2 2" xfId="2469"/>
    <cellStyle name="常规 6 4 2 2 2" xfId="5315"/>
    <cellStyle name="常规 6 4 2 3" xfId="4502"/>
    <cellStyle name="常规 6 4 3" xfId="2470"/>
    <cellStyle name="常规 6 4 3 2" xfId="9208"/>
    <cellStyle name="常规 6 4 4" xfId="2471"/>
    <cellStyle name="常规 6 4 4 2" xfId="5316"/>
    <cellStyle name="常规 6 4 5" xfId="2472"/>
    <cellStyle name="常规 6 4 5 2" xfId="9207"/>
    <cellStyle name="常规 6 4 6" xfId="4501"/>
    <cellStyle name="常规 6 4 6 2" xfId="6756"/>
    <cellStyle name="常规 6 4 7" xfId="8360"/>
    <cellStyle name="常规 6 4 8" xfId="5314"/>
    <cellStyle name="常规 6 5" xfId="2473"/>
    <cellStyle name="常规 6 5 2" xfId="2474"/>
    <cellStyle name="常规 6 5 2 2" xfId="5317"/>
    <cellStyle name="常规 6 5 3" xfId="2475"/>
    <cellStyle name="常规 6 5 3 2" xfId="5318"/>
    <cellStyle name="常规 6 5 4" xfId="4503"/>
    <cellStyle name="常规 6 5 4 2" xfId="6757"/>
    <cellStyle name="常规 6 5 4 3" xfId="5670"/>
    <cellStyle name="常规 6 5 5" xfId="8369"/>
    <cellStyle name="常规 6 5 6" xfId="8359"/>
    <cellStyle name="常规 6 6" xfId="2476"/>
    <cellStyle name="常规 6 6 2" xfId="6758"/>
    <cellStyle name="常规 6 6 2 2" xfId="9030"/>
    <cellStyle name="常规 6 6 3" xfId="8370"/>
    <cellStyle name="常规 6 6 4" xfId="8358"/>
    <cellStyle name="常规 6 6 5" xfId="5319"/>
    <cellStyle name="常规 6 7" xfId="2477"/>
    <cellStyle name="常规 6 7 2" xfId="8357"/>
    <cellStyle name="常规 6 7 3" xfId="9200"/>
    <cellStyle name="常规 6 8" xfId="2478"/>
    <cellStyle name="常规 6 8 2" xfId="5320"/>
    <cellStyle name="常规 6 9" xfId="4492"/>
    <cellStyle name="常规 6 9 2" xfId="6754"/>
    <cellStyle name="常规 7" xfId="2479"/>
    <cellStyle name="常规 7 10" xfId="4504"/>
    <cellStyle name="常规 7 10 2" xfId="6759"/>
    <cellStyle name="常规 7 11" xfId="8356"/>
    <cellStyle name="常规 7 2" xfId="2480"/>
    <cellStyle name="常规 7 2 2" xfId="2481"/>
    <cellStyle name="常规 7 2 2 2" xfId="2482"/>
    <cellStyle name="常规 7 2 2 2 2" xfId="6762"/>
    <cellStyle name="常规 7 2 2 3" xfId="2483"/>
    <cellStyle name="常规 7 2 2 3 2" xfId="5321"/>
    <cellStyle name="常规 7 2 2 4" xfId="2484"/>
    <cellStyle name="常规 7 2 2 4 2" xfId="9201"/>
    <cellStyle name="常规 7 2 2 5" xfId="6761"/>
    <cellStyle name="常规 7 2 3" xfId="2485"/>
    <cellStyle name="常规 7 2 3 2" xfId="2486"/>
    <cellStyle name="常规 7 2 3 2 2" xfId="9204"/>
    <cellStyle name="常规 7 2 3 3" xfId="6763"/>
    <cellStyle name="常规 7 2 4" xfId="2487"/>
    <cellStyle name="常规 7 2 4 2" xfId="8353"/>
    <cellStyle name="常规 7 2 4 3" xfId="5322"/>
    <cellStyle name="常规 7 2 5" xfId="2488"/>
    <cellStyle name="常规 7 2 5 2" xfId="8352"/>
    <cellStyle name="常规 7 2 5 3" xfId="9203"/>
    <cellStyle name="常规 7 2 6" xfId="2489"/>
    <cellStyle name="常规 7 2 6 2" xfId="5323"/>
    <cellStyle name="常规 7 2 7" xfId="2490"/>
    <cellStyle name="常规 7 2 7 2" xfId="9202"/>
    <cellStyle name="常规 7 2 8" xfId="4505"/>
    <cellStyle name="常规 7 2 8 2" xfId="6760"/>
    <cellStyle name="常规 7 2 9" xfId="8355"/>
    <cellStyle name="常规 7 3" xfId="2491"/>
    <cellStyle name="常规 7 3 2" xfId="2492"/>
    <cellStyle name="常规 7 3 2 2" xfId="6765"/>
    <cellStyle name="常规 7 3 3" xfId="2493"/>
    <cellStyle name="常规 7 3 3 2" xfId="5324"/>
    <cellStyle name="常规 7 3 4" xfId="2494"/>
    <cellStyle name="常规 7 3 4 2" xfId="5325"/>
    <cellStyle name="常规 7 3 5" xfId="6764"/>
    <cellStyle name="常规 7 4" xfId="2495"/>
    <cellStyle name="常规 7 4 2" xfId="2496"/>
    <cellStyle name="常规 7 4 2 2" xfId="6767"/>
    <cellStyle name="常规 7 4 3" xfId="6766"/>
    <cellStyle name="常规 7 5" xfId="2497"/>
    <cellStyle name="常规 7 5 2" xfId="2498"/>
    <cellStyle name="常规 7 5 2 2" xfId="5326"/>
    <cellStyle name="常规 7 5 3" xfId="6768"/>
    <cellStyle name="常规 7 6" xfId="2499"/>
    <cellStyle name="常规 7 6 2" xfId="6769"/>
    <cellStyle name="常规 7 6 2 2" xfId="9029"/>
    <cellStyle name="常规 7 6 3" xfId="8377"/>
    <cellStyle name="常规 7 6 4" xfId="8349"/>
    <cellStyle name="常规 7 6 5" xfId="9198"/>
    <cellStyle name="常规 7 7" xfId="2500"/>
    <cellStyle name="常规 7 7 2" xfId="9199"/>
    <cellStyle name="常规 7 8" xfId="2501"/>
    <cellStyle name="常规 7 8 2" xfId="5327"/>
    <cellStyle name="常规 7 9" xfId="2502"/>
    <cellStyle name="常规 7 9 2" xfId="9195"/>
    <cellStyle name="常规 8" xfId="2503"/>
    <cellStyle name="常规 8 10" xfId="4506"/>
    <cellStyle name="常规 8 2" xfId="2504"/>
    <cellStyle name="常规 8 2 2" xfId="2505"/>
    <cellStyle name="常规 8 2 2 2" xfId="2506"/>
    <cellStyle name="常规 8 2 2 2 2" xfId="6772"/>
    <cellStyle name="常规 8 2 2 3" xfId="2507"/>
    <cellStyle name="常规 8 2 2 3 2" xfId="8346"/>
    <cellStyle name="常规 8 2 2 3 3" xfId="5328"/>
    <cellStyle name="常规 8 2 2 4" xfId="2508"/>
    <cellStyle name="常规 8 2 2 4 2" xfId="9196"/>
    <cellStyle name="常规 8 2 2 5" xfId="2509"/>
    <cellStyle name="常规 8 2 2 5 2" xfId="9197"/>
    <cellStyle name="常规 8 2 2 6" xfId="2510"/>
    <cellStyle name="常规 8 2 2 6 2" xfId="5329"/>
    <cellStyle name="常规 8 2 2 7" xfId="4508"/>
    <cellStyle name="常规 8 2 2 7 2" xfId="6771"/>
    <cellStyle name="常规 8 2 2 8" xfId="8347"/>
    <cellStyle name="常规 8 2 3" xfId="2511"/>
    <cellStyle name="常规 8 2 3 2" xfId="2512"/>
    <cellStyle name="常规 8 2 3 2 2" xfId="5330"/>
    <cellStyle name="常规 8 2 3 3" xfId="6773"/>
    <cellStyle name="常规 8 2 4" xfId="2513"/>
    <cellStyle name="常规 8 2 4 2" xfId="8345"/>
    <cellStyle name="常规 8 2 4 3" xfId="9190"/>
    <cellStyle name="常规 8 2 5" xfId="2514"/>
    <cellStyle name="常规 8 2 5 2" xfId="8343"/>
    <cellStyle name="常规 8 2 5 3" xfId="5331"/>
    <cellStyle name="常规 8 2 6" xfId="2515"/>
    <cellStyle name="常规 8 2 6 2" xfId="9813"/>
    <cellStyle name="常规 8 2 7" xfId="2516"/>
    <cellStyle name="常规 8 2 7 2" xfId="5332"/>
    <cellStyle name="常规 8 2 8" xfId="4507"/>
    <cellStyle name="常规 8 2 8 2" xfId="6770"/>
    <cellStyle name="常规 8 2 9" xfId="8348"/>
    <cellStyle name="常规 8 3" xfId="2517"/>
    <cellStyle name="常规 8 3 2" xfId="2518"/>
    <cellStyle name="常规 8 3 2 2" xfId="6775"/>
    <cellStyle name="常规 8 3 3" xfId="2519"/>
    <cellStyle name="常规 8 3 3 2" xfId="8338"/>
    <cellStyle name="常规 8 3 3 3" xfId="5333"/>
    <cellStyle name="常规 8 3 4" xfId="2520"/>
    <cellStyle name="常规 8 3 4 2" xfId="9191"/>
    <cellStyle name="常规 8 3 5" xfId="2521"/>
    <cellStyle name="常规 8 3 5 2" xfId="5334"/>
    <cellStyle name="常规 8 3 6" xfId="2522"/>
    <cellStyle name="常规 8 3 6 2" xfId="9194"/>
    <cellStyle name="常规 8 3 7" xfId="4509"/>
    <cellStyle name="常规 8 3 7 2" xfId="6774"/>
    <cellStyle name="常规 8 3 8" xfId="8339"/>
    <cellStyle name="常规 8 4" xfId="2523"/>
    <cellStyle name="常规 8 4 2" xfId="2524"/>
    <cellStyle name="常规 8 4 2 2" xfId="6777"/>
    <cellStyle name="常规 8 4 2 3" xfId="9193"/>
    <cellStyle name="常规 8 4 3" xfId="6776"/>
    <cellStyle name="常规 8 5" xfId="2525"/>
    <cellStyle name="常规 8 5 2" xfId="6778"/>
    <cellStyle name="常规 8 6" xfId="2526"/>
    <cellStyle name="常规 8 6 2" xfId="8384"/>
    <cellStyle name="常规 8 6 3" xfId="8333"/>
    <cellStyle name="常规 8 7" xfId="2527"/>
    <cellStyle name="常规 8 7 2" xfId="9192"/>
    <cellStyle name="常规 8 8" xfId="2528"/>
    <cellStyle name="常规 8 8 2" xfId="5335"/>
    <cellStyle name="常规 8 9" xfId="2529"/>
    <cellStyle name="常规 8 9 2" xfId="5336"/>
    <cellStyle name="常规 9" xfId="2530"/>
    <cellStyle name="常规 9 10" xfId="4510"/>
    <cellStyle name="常规 9 2" xfId="2531"/>
    <cellStyle name="常规 9 2 2" xfId="2532"/>
    <cellStyle name="常规 9 2 2 2" xfId="2533"/>
    <cellStyle name="常规 9 2 2 2 2" xfId="6781"/>
    <cellStyle name="常规 9 2 2 3" xfId="2534"/>
    <cellStyle name="常规 9 2 2 3 2" xfId="8326"/>
    <cellStyle name="常规 9 2 2 3 3" xfId="9814"/>
    <cellStyle name="常规 9 2 2 4" xfId="2535"/>
    <cellStyle name="常规 9 2 2 4 2" xfId="5337"/>
    <cellStyle name="常规 9 2 2 5" xfId="2536"/>
    <cellStyle name="常规 9 2 2 5 2" xfId="9188"/>
    <cellStyle name="常规 9 2 2 6" xfId="2537"/>
    <cellStyle name="常规 9 2 2 6 2" xfId="5338"/>
    <cellStyle name="常规 9 2 2 7" xfId="4512"/>
    <cellStyle name="常规 9 2 2 7 2" xfId="6780"/>
    <cellStyle name="常规 9 2 2 8" xfId="8327"/>
    <cellStyle name="常规 9 2 3" xfId="2538"/>
    <cellStyle name="常规 9 2 3 2" xfId="2539"/>
    <cellStyle name="常规 9 2 3 2 2" xfId="9189"/>
    <cellStyle name="常规 9 2 3 3" xfId="6782"/>
    <cellStyle name="常规 9 2 4" xfId="2540"/>
    <cellStyle name="常规 9 2 4 2" xfId="8321"/>
    <cellStyle name="常规 9 2 4 3" xfId="5339"/>
    <cellStyle name="常规 9 2 5" xfId="2541"/>
    <cellStyle name="常规 9 2 5 2" xfId="8320"/>
    <cellStyle name="常规 9 2 5 3" xfId="5340"/>
    <cellStyle name="常规 9 2 6" xfId="2542"/>
    <cellStyle name="常规 9 2 6 2" xfId="9185"/>
    <cellStyle name="常规 9 2 7" xfId="2543"/>
    <cellStyle name="常规 9 2 7 2" xfId="5341"/>
    <cellStyle name="常规 9 2 8" xfId="4511"/>
    <cellStyle name="常规 9 2 8 2" xfId="6779"/>
    <cellStyle name="常规 9 2 9" xfId="8331"/>
    <cellStyle name="常规 9 3" xfId="2544"/>
    <cellStyle name="常规 9 3 2" xfId="2545"/>
    <cellStyle name="常规 9 3 2 2" xfId="2546"/>
    <cellStyle name="常规 9 3 2 2 2" xfId="9187"/>
    <cellStyle name="常规 9 3 2 3" xfId="6784"/>
    <cellStyle name="常规 9 3 3" xfId="2547"/>
    <cellStyle name="常规 9 3 3 2" xfId="8314"/>
    <cellStyle name="常规 9 3 3 3" xfId="5342"/>
    <cellStyle name="常规 9 3 4" xfId="2548"/>
    <cellStyle name="常规 9 3 4 2" xfId="9186"/>
    <cellStyle name="常规 9 3 5" xfId="2549"/>
    <cellStyle name="常规 9 3 5 2" xfId="5343"/>
    <cellStyle name="常规 9 3 6" xfId="2550"/>
    <cellStyle name="常规 9 3 6 2" xfId="5344"/>
    <cellStyle name="常规 9 3 7" xfId="4513"/>
    <cellStyle name="常规 9 3 7 2" xfId="6783"/>
    <cellStyle name="常规 9 3 8" xfId="8319"/>
    <cellStyle name="常规 9 4" xfId="2551"/>
    <cellStyle name="常规 9 4 2" xfId="2552"/>
    <cellStyle name="常规 9 4 2 2" xfId="6786"/>
    <cellStyle name="常规 9 4 2 3" xfId="5345"/>
    <cellStyle name="常规 9 4 3" xfId="6785"/>
    <cellStyle name="常规 9 5" xfId="2553"/>
    <cellStyle name="常规 9 5 2" xfId="6787"/>
    <cellStyle name="常规 9 6" xfId="2554"/>
    <cellStyle name="常规 9 6 2" xfId="8385"/>
    <cellStyle name="常规 9 6 3" xfId="8312"/>
    <cellStyle name="常规 9 7" xfId="2555"/>
    <cellStyle name="常规 9 7 2" xfId="5346"/>
    <cellStyle name="常规 9 8" xfId="2556"/>
    <cellStyle name="常规 9 8 2" xfId="9180"/>
    <cellStyle name="常规 9 9" xfId="2557"/>
    <cellStyle name="常规 9 9 2" xfId="9815"/>
    <cellStyle name="常规_2010年全县一般预算财政收入分级表 2" xfId="8386"/>
    <cellStyle name="好 2" xfId="2558"/>
    <cellStyle name="好 2 10" xfId="2559"/>
    <cellStyle name="好 2 10 2" xfId="2560"/>
    <cellStyle name="好 2 10 2 2" xfId="2561"/>
    <cellStyle name="好 2 10 2 2 2" xfId="6793"/>
    <cellStyle name="好 2 10 2 2 3" xfId="6792"/>
    <cellStyle name="好 2 10 2 3" xfId="2562"/>
    <cellStyle name="好 2 10 2 3 2" xfId="6794"/>
    <cellStyle name="好 2 10 2 4" xfId="2563"/>
    <cellStyle name="好 2 10 2 4 2" xfId="6795"/>
    <cellStyle name="好 2 10 2 5" xfId="2564"/>
    <cellStyle name="好 2 10 2 5 2" xfId="9184"/>
    <cellStyle name="好 2 10 2 6" xfId="6791"/>
    <cellStyle name="好 2 10 3" xfId="2565"/>
    <cellStyle name="好 2 10 3 2" xfId="6797"/>
    <cellStyle name="好 2 10 3 3" xfId="6796"/>
    <cellStyle name="好 2 10 4" xfId="2566"/>
    <cellStyle name="好 2 10 4 2" xfId="8297"/>
    <cellStyle name="好 2 10 5" xfId="2567"/>
    <cellStyle name="好 2 10 5 2" xfId="9181"/>
    <cellStyle name="好 2 10 6" xfId="6790"/>
    <cellStyle name="好 2 11" xfId="2568"/>
    <cellStyle name="好 2 11 2" xfId="2569"/>
    <cellStyle name="好 2 11 2 2" xfId="2570"/>
    <cellStyle name="好 2 11 2 2 2" xfId="6801"/>
    <cellStyle name="好 2 11 2 2 3" xfId="6800"/>
    <cellStyle name="好 2 11 2 3" xfId="2571"/>
    <cellStyle name="好 2 11 2 3 2" xfId="6802"/>
    <cellStyle name="好 2 11 2 4" xfId="2572"/>
    <cellStyle name="好 2 11 2 4 2" xfId="6803"/>
    <cellStyle name="好 2 11 2 5" xfId="2573"/>
    <cellStyle name="好 2 11 2 5 2" xfId="9182"/>
    <cellStyle name="好 2 11 2 6" xfId="6799"/>
    <cellStyle name="好 2 11 3" xfId="2574"/>
    <cellStyle name="好 2 11 3 2" xfId="6805"/>
    <cellStyle name="好 2 11 3 3" xfId="6804"/>
    <cellStyle name="好 2 11 4" xfId="2575"/>
    <cellStyle name="好 2 11 4 2" xfId="8292"/>
    <cellStyle name="好 2 11 5" xfId="2576"/>
    <cellStyle name="好 2 11 5 2" xfId="9183"/>
    <cellStyle name="好 2 11 6" xfId="6798"/>
    <cellStyle name="好 2 12" xfId="2577"/>
    <cellStyle name="好 2 12 2" xfId="2578"/>
    <cellStyle name="好 2 12 2 2" xfId="2579"/>
    <cellStyle name="好 2 12 2 2 2" xfId="6809"/>
    <cellStyle name="好 2 12 2 2 3" xfId="6808"/>
    <cellStyle name="好 2 12 2 3" xfId="2580"/>
    <cellStyle name="好 2 12 2 3 2" xfId="6810"/>
    <cellStyle name="好 2 12 2 4" xfId="2581"/>
    <cellStyle name="好 2 12 2 4 2" xfId="6811"/>
    <cellStyle name="好 2 12 2 5" xfId="2582"/>
    <cellStyle name="好 2 12 2 5 2" xfId="5347"/>
    <cellStyle name="好 2 12 2 6" xfId="6807"/>
    <cellStyle name="好 2 12 3" xfId="2583"/>
    <cellStyle name="好 2 12 3 2" xfId="6813"/>
    <cellStyle name="好 2 12 3 3" xfId="6812"/>
    <cellStyle name="好 2 12 4" xfId="2584"/>
    <cellStyle name="好 2 12 4 2" xfId="8287"/>
    <cellStyle name="好 2 12 5" xfId="2585"/>
    <cellStyle name="好 2 12 5 2" xfId="9179"/>
    <cellStyle name="好 2 12 6" xfId="6806"/>
    <cellStyle name="好 2 13" xfId="2586"/>
    <cellStyle name="好 2 13 2" xfId="2587"/>
    <cellStyle name="好 2 13 2 2" xfId="6816"/>
    <cellStyle name="好 2 13 2 3" xfId="6815"/>
    <cellStyle name="好 2 13 3" xfId="2588"/>
    <cellStyle name="好 2 13 3 2" xfId="6817"/>
    <cellStyle name="好 2 13 4" xfId="2589"/>
    <cellStyle name="好 2 13 4 2" xfId="6818"/>
    <cellStyle name="好 2 13 5" xfId="2590"/>
    <cellStyle name="好 2 13 5 2" xfId="6238"/>
    <cellStyle name="好 2 13 6" xfId="6814"/>
    <cellStyle name="好 2 13 7" xfId="8286"/>
    <cellStyle name="好 2 14" xfId="2591"/>
    <cellStyle name="好 2 14 2" xfId="2592"/>
    <cellStyle name="好 2 14 2 2" xfId="6820"/>
    <cellStyle name="好 2 14 3" xfId="6819"/>
    <cellStyle name="好 2 15" xfId="2593"/>
    <cellStyle name="好 2 15 2" xfId="8281"/>
    <cellStyle name="好 2 16" xfId="2594"/>
    <cellStyle name="好 2 16 2" xfId="5348"/>
    <cellStyle name="好 2 17" xfId="2595"/>
    <cellStyle name="好 2 17 2" xfId="9177"/>
    <cellStyle name="好 2 18" xfId="2596"/>
    <cellStyle name="好 2 18 2" xfId="9178"/>
    <cellStyle name="好 2 19" xfId="4514"/>
    <cellStyle name="好 2 19 2" xfId="6789"/>
    <cellStyle name="好 2 2" xfId="2597"/>
    <cellStyle name="好 2 2 2" xfId="2598"/>
    <cellStyle name="好 2 2 2 2" xfId="2599"/>
    <cellStyle name="好 2 2 2 2 2" xfId="2600"/>
    <cellStyle name="好 2 2 2 2 2 2" xfId="6824"/>
    <cellStyle name="好 2 2 2 2 3" xfId="2601"/>
    <cellStyle name="好 2 2 2 2 3 2" xfId="9816"/>
    <cellStyle name="好 2 2 2 2 4" xfId="2602"/>
    <cellStyle name="好 2 2 2 2 4 2" xfId="5349"/>
    <cellStyle name="好 2 2 2 2 5" xfId="4517"/>
    <cellStyle name="好 2 2 2 2 5 2" xfId="6823"/>
    <cellStyle name="好 2 2 2 2 6" xfId="8278"/>
    <cellStyle name="好 2 2 2 3" xfId="2603"/>
    <cellStyle name="好 2 2 2 3 2" xfId="6825"/>
    <cellStyle name="好 2 2 2 4" xfId="2604"/>
    <cellStyle name="好 2 2 2 4 2" xfId="6826"/>
    <cellStyle name="好 2 2 2 5" xfId="2605"/>
    <cellStyle name="好 2 2 2 5 2" xfId="5350"/>
    <cellStyle name="好 2 2 2 6" xfId="2606"/>
    <cellStyle name="好 2 2 2 6 2" xfId="9174"/>
    <cellStyle name="好 2 2 2 7" xfId="2607"/>
    <cellStyle name="好 2 2 2 7 2" xfId="5351"/>
    <cellStyle name="好 2 2 2 8" xfId="4516"/>
    <cellStyle name="好 2 2 2 8 2" xfId="6822"/>
    <cellStyle name="好 2 2 2 9" xfId="8279"/>
    <cellStyle name="好 2 2 3" xfId="2608"/>
    <cellStyle name="好 2 2 3 2" xfId="2609"/>
    <cellStyle name="好 2 2 3 2 2" xfId="6828"/>
    <cellStyle name="好 2 2 3 3" xfId="2610"/>
    <cellStyle name="好 2 2 3 3 2" xfId="9176"/>
    <cellStyle name="好 2 2 3 4" xfId="2611"/>
    <cellStyle name="好 2 2 3 4 2" xfId="6243"/>
    <cellStyle name="好 2 2 3 5" xfId="4518"/>
    <cellStyle name="好 2 2 3 5 2" xfId="6827"/>
    <cellStyle name="好 2 2 3 6" xfId="8277"/>
    <cellStyle name="好 2 2 4" xfId="2612"/>
    <cellStyle name="好 2 2 4 2" xfId="8276"/>
    <cellStyle name="好 2 2 4 3" xfId="9175"/>
    <cellStyle name="好 2 2 5" xfId="2613"/>
    <cellStyle name="好 2 2 5 2" xfId="8275"/>
    <cellStyle name="好 2 2 6" xfId="2614"/>
    <cellStyle name="好 2 2 6 2" xfId="8274"/>
    <cellStyle name="好 2 2 7" xfId="2615"/>
    <cellStyle name="好 2 2 7 2" xfId="5352"/>
    <cellStyle name="好 2 2 8" xfId="4515"/>
    <cellStyle name="好 2 2 8 2" xfId="6821"/>
    <cellStyle name="好 2 3" xfId="2616"/>
    <cellStyle name="好 2 3 2" xfId="2617"/>
    <cellStyle name="好 2 3 2 2" xfId="2618"/>
    <cellStyle name="好 2 3 2 2 2" xfId="2619"/>
    <cellStyle name="好 2 3 2 2 2 2" xfId="6832"/>
    <cellStyle name="好 2 3 2 2 3" xfId="2620"/>
    <cellStyle name="好 2 3 2 2 3 2" xfId="5353"/>
    <cellStyle name="好 2 3 2 2 4" xfId="2621"/>
    <cellStyle name="好 2 3 2 2 4 2" xfId="9173"/>
    <cellStyle name="好 2 3 2 2 5" xfId="4521"/>
    <cellStyle name="好 2 3 2 2 5 2" xfId="6831"/>
    <cellStyle name="好 2 3 2 2 6" xfId="8272"/>
    <cellStyle name="好 2 3 2 3" xfId="2622"/>
    <cellStyle name="好 2 3 2 3 2" xfId="6833"/>
    <cellStyle name="好 2 3 2 4" xfId="2623"/>
    <cellStyle name="好 2 3 2 4 2" xfId="6834"/>
    <cellStyle name="好 2 3 2 5" xfId="2624"/>
    <cellStyle name="好 2 3 2 5 2" xfId="9169"/>
    <cellStyle name="好 2 3 2 6" xfId="2625"/>
    <cellStyle name="好 2 3 2 6 2" xfId="5354"/>
    <cellStyle name="好 2 3 2 7" xfId="2626"/>
    <cellStyle name="好 2 3 2 7 2" xfId="9172"/>
    <cellStyle name="好 2 3 2 8" xfId="4520"/>
    <cellStyle name="好 2 3 2 8 2" xfId="6830"/>
    <cellStyle name="好 2 3 2 9" xfId="8273"/>
    <cellStyle name="好 2 3 3" xfId="2627"/>
    <cellStyle name="好 2 3 3 2" xfId="2628"/>
    <cellStyle name="好 2 3 3 2 2" xfId="6836"/>
    <cellStyle name="好 2 3 3 3" xfId="2629"/>
    <cellStyle name="好 2 3 3 3 2" xfId="5355"/>
    <cellStyle name="好 2 3 3 4" xfId="2630"/>
    <cellStyle name="好 2 3 3 4 2" xfId="9170"/>
    <cellStyle name="好 2 3 3 5" xfId="4522"/>
    <cellStyle name="好 2 3 3 5 2" xfId="6835"/>
    <cellStyle name="好 2 3 3 6" xfId="8271"/>
    <cellStyle name="好 2 3 4" xfId="2631"/>
    <cellStyle name="好 2 3 4 2" xfId="8270"/>
    <cellStyle name="好 2 3 4 3" xfId="9171"/>
    <cellStyle name="好 2 3 5" xfId="2632"/>
    <cellStyle name="好 2 3 5 2" xfId="8269"/>
    <cellStyle name="好 2 3 6" xfId="2633"/>
    <cellStyle name="好 2 3 6 2" xfId="8268"/>
    <cellStyle name="好 2 3 7" xfId="2634"/>
    <cellStyle name="好 2 3 7 2" xfId="5356"/>
    <cellStyle name="好 2 3 8" xfId="4519"/>
    <cellStyle name="好 2 3 8 2" xfId="6829"/>
    <cellStyle name="好 2 4" xfId="2635"/>
    <cellStyle name="好 2 4 2" xfId="2636"/>
    <cellStyle name="好 2 4 2 2" xfId="2637"/>
    <cellStyle name="好 2 4 2 2 2" xfId="6840"/>
    <cellStyle name="好 2 4 2 2 3" xfId="6839"/>
    <cellStyle name="好 2 4 2 3" xfId="2638"/>
    <cellStyle name="好 2 4 2 3 2" xfId="6841"/>
    <cellStyle name="好 2 4 2 4" xfId="2639"/>
    <cellStyle name="好 2 4 2 4 2" xfId="6842"/>
    <cellStyle name="好 2 4 2 5" xfId="2640"/>
    <cellStyle name="好 2 4 2 5 2" xfId="9168"/>
    <cellStyle name="好 2 4 2 6" xfId="6838"/>
    <cellStyle name="好 2 4 2 7" xfId="8267"/>
    <cellStyle name="好 2 4 3" xfId="2641"/>
    <cellStyle name="好 2 4 3 2" xfId="6844"/>
    <cellStyle name="好 2 4 3 3" xfId="6843"/>
    <cellStyle name="好 2 4 4" xfId="2642"/>
    <cellStyle name="好 2 4 4 2" xfId="8266"/>
    <cellStyle name="好 2 4 5" xfId="2643"/>
    <cellStyle name="好 2 4 5 2" xfId="5357"/>
    <cellStyle name="好 2 4 6" xfId="2644"/>
    <cellStyle name="好 2 4 6 2" xfId="9167"/>
    <cellStyle name="好 2 4 7" xfId="2645"/>
    <cellStyle name="好 2 4 7 2" xfId="5358"/>
    <cellStyle name="好 2 4 8" xfId="4523"/>
    <cellStyle name="好 2 4 8 2" xfId="6837"/>
    <cellStyle name="好 2 5" xfId="2646"/>
    <cellStyle name="好 2 5 2" xfId="2647"/>
    <cellStyle name="好 2 5 2 2" xfId="2648"/>
    <cellStyle name="好 2 5 2 2 2" xfId="6848"/>
    <cellStyle name="好 2 5 2 2 3" xfId="6847"/>
    <cellStyle name="好 2 5 2 3" xfId="2649"/>
    <cellStyle name="好 2 5 2 3 2" xfId="6849"/>
    <cellStyle name="好 2 5 2 4" xfId="2650"/>
    <cellStyle name="好 2 5 2 4 2" xfId="6850"/>
    <cellStyle name="好 2 5 2 5" xfId="2651"/>
    <cellStyle name="好 2 5 2 5 2" xfId="5359"/>
    <cellStyle name="好 2 5 2 6" xfId="6846"/>
    <cellStyle name="好 2 5 3" xfId="2652"/>
    <cellStyle name="好 2 5 3 2" xfId="6852"/>
    <cellStyle name="好 2 5 3 3" xfId="6851"/>
    <cellStyle name="好 2 5 4" xfId="2653"/>
    <cellStyle name="好 2 5 4 2" xfId="8262"/>
    <cellStyle name="好 2 5 5" xfId="2654"/>
    <cellStyle name="好 2 5 5 2" xfId="9820"/>
    <cellStyle name="好 2 5 6" xfId="4524"/>
    <cellStyle name="好 2 5 6 2" xfId="6845"/>
    <cellStyle name="好 2 6" xfId="2655"/>
    <cellStyle name="好 2 6 2" xfId="2656"/>
    <cellStyle name="好 2 6 2 2" xfId="2657"/>
    <cellStyle name="好 2 6 2 2 2" xfId="6856"/>
    <cellStyle name="好 2 6 2 2 3" xfId="6855"/>
    <cellStyle name="好 2 6 2 3" xfId="2658"/>
    <cellStyle name="好 2 6 2 3 2" xfId="6857"/>
    <cellStyle name="好 2 6 2 4" xfId="2659"/>
    <cellStyle name="好 2 6 2 4 2" xfId="6858"/>
    <cellStyle name="好 2 6 2 5" xfId="2660"/>
    <cellStyle name="好 2 6 2 5 2" xfId="9819"/>
    <cellStyle name="好 2 6 2 6" xfId="6854"/>
    <cellStyle name="好 2 6 3" xfId="2661"/>
    <cellStyle name="好 2 6 3 2" xfId="6860"/>
    <cellStyle name="好 2 6 3 3" xfId="6859"/>
    <cellStyle name="好 2 6 4" xfId="2662"/>
    <cellStyle name="好 2 6 4 2" xfId="8257"/>
    <cellStyle name="好 2 6 5" xfId="2663"/>
    <cellStyle name="好 2 6 5 2" xfId="9817"/>
    <cellStyle name="好 2 6 6" xfId="6853"/>
    <cellStyle name="好 2 7" xfId="2664"/>
    <cellStyle name="好 2 7 2" xfId="2665"/>
    <cellStyle name="好 2 7 2 2" xfId="2666"/>
    <cellStyle name="好 2 7 2 2 2" xfId="6864"/>
    <cellStyle name="好 2 7 2 2 3" xfId="6863"/>
    <cellStyle name="好 2 7 2 3" xfId="2667"/>
    <cellStyle name="好 2 7 2 3 2" xfId="6865"/>
    <cellStyle name="好 2 7 2 4" xfId="2668"/>
    <cellStyle name="好 2 7 2 4 2" xfId="6866"/>
    <cellStyle name="好 2 7 2 5" xfId="2669"/>
    <cellStyle name="好 2 7 2 5 2" xfId="9818"/>
    <cellStyle name="好 2 7 2 6" xfId="6862"/>
    <cellStyle name="好 2 7 3" xfId="2670"/>
    <cellStyle name="好 2 7 3 2" xfId="6868"/>
    <cellStyle name="好 2 7 3 3" xfId="6867"/>
    <cellStyle name="好 2 7 4" xfId="2671"/>
    <cellStyle name="好 2 7 4 2" xfId="8252"/>
    <cellStyle name="好 2 7 5" xfId="2672"/>
    <cellStyle name="好 2 7 5 2" xfId="5360"/>
    <cellStyle name="好 2 7 6" xfId="6861"/>
    <cellStyle name="好 2 8" xfId="2673"/>
    <cellStyle name="好 2 8 2" xfId="2674"/>
    <cellStyle name="好 2 8 2 2" xfId="2675"/>
    <cellStyle name="好 2 8 2 2 2" xfId="6872"/>
    <cellStyle name="好 2 8 2 2 3" xfId="6871"/>
    <cellStyle name="好 2 8 2 3" xfId="2676"/>
    <cellStyle name="好 2 8 2 3 2" xfId="6873"/>
    <cellStyle name="好 2 8 2 4" xfId="2677"/>
    <cellStyle name="好 2 8 2 4 2" xfId="6874"/>
    <cellStyle name="好 2 8 2 5" xfId="2678"/>
    <cellStyle name="好 2 8 2 5 2" xfId="5361"/>
    <cellStyle name="好 2 8 2 6" xfId="6870"/>
    <cellStyle name="好 2 8 3" xfId="2679"/>
    <cellStyle name="好 2 8 3 2" xfId="6876"/>
    <cellStyle name="好 2 8 3 3" xfId="6875"/>
    <cellStyle name="好 2 8 4" xfId="2680"/>
    <cellStyle name="好 2 8 4 2" xfId="8245"/>
    <cellStyle name="好 2 8 5" xfId="2681"/>
    <cellStyle name="好 2 8 5 2" xfId="5362"/>
    <cellStyle name="好 2 8 6" xfId="6869"/>
    <cellStyle name="好 2 9" xfId="2682"/>
    <cellStyle name="好 2 9 2" xfId="2683"/>
    <cellStyle name="好 2 9 2 2" xfId="2684"/>
    <cellStyle name="好 2 9 2 2 2" xfId="6880"/>
    <cellStyle name="好 2 9 2 2 3" xfId="6879"/>
    <cellStyle name="好 2 9 2 3" xfId="2685"/>
    <cellStyle name="好 2 9 2 3 2" xfId="6881"/>
    <cellStyle name="好 2 9 2 4" xfId="2686"/>
    <cellStyle name="好 2 9 2 4 2" xfId="6882"/>
    <cellStyle name="好 2 9 2 5" xfId="2687"/>
    <cellStyle name="好 2 9 2 5 2" xfId="5363"/>
    <cellStyle name="好 2 9 2 6" xfId="6878"/>
    <cellStyle name="好 2 9 3" xfId="2688"/>
    <cellStyle name="好 2 9 3 2" xfId="6884"/>
    <cellStyle name="好 2 9 3 3" xfId="6883"/>
    <cellStyle name="好 2 9 4" xfId="2689"/>
    <cellStyle name="好 2 9 4 2" xfId="8241"/>
    <cellStyle name="好 2 9 5" xfId="2690"/>
    <cellStyle name="好 2 9 5 2" xfId="5364"/>
    <cellStyle name="好 2 9 6" xfId="6877"/>
    <cellStyle name="好 3" xfId="2691"/>
    <cellStyle name="好 3 2" xfId="2692"/>
    <cellStyle name="好 3 2 2" xfId="2693"/>
    <cellStyle name="好 3 2 2 2" xfId="6888"/>
    <cellStyle name="好 3 2 2 3" xfId="6887"/>
    <cellStyle name="好 3 2 3" xfId="2694"/>
    <cellStyle name="好 3 2 3 2" xfId="6889"/>
    <cellStyle name="好 3 2 4" xfId="2695"/>
    <cellStyle name="好 3 2 4 2" xfId="8548"/>
    <cellStyle name="好 3 2 5" xfId="2696"/>
    <cellStyle name="好 3 2 5 2" xfId="5365"/>
    <cellStyle name="好 3 2 6" xfId="2697"/>
    <cellStyle name="好 3 2 6 2" xfId="5366"/>
    <cellStyle name="好 3 2 7" xfId="4526"/>
    <cellStyle name="好 3 2 7 2" xfId="6886"/>
    <cellStyle name="好 3 2 8" xfId="8237"/>
    <cellStyle name="好 3 3" xfId="2698"/>
    <cellStyle name="好 3 3 2" xfId="2699"/>
    <cellStyle name="好 3 3 2 2" xfId="6891"/>
    <cellStyle name="好 3 3 3" xfId="4527"/>
    <cellStyle name="好 3 3 3 2" xfId="6890"/>
    <cellStyle name="好 3 3 4" xfId="8236"/>
    <cellStyle name="好 3 4" xfId="2700"/>
    <cellStyle name="好 3 4 2" xfId="6893"/>
    <cellStyle name="好 3 4 3" xfId="6892"/>
    <cellStyle name="好 3 5" xfId="2701"/>
    <cellStyle name="好 3 5 2" xfId="6894"/>
    <cellStyle name="好 3 5 3" xfId="8235"/>
    <cellStyle name="好 3 6" xfId="2702"/>
    <cellStyle name="好 3 6 2" xfId="5367"/>
    <cellStyle name="好 3 7" xfId="2703"/>
    <cellStyle name="好 3 7 2" xfId="5368"/>
    <cellStyle name="好 3 8" xfId="4525"/>
    <cellStyle name="好 4" xfId="2704"/>
    <cellStyle name="好 4 2" xfId="4528"/>
    <cellStyle name="好 4 3" xfId="9164"/>
    <cellStyle name="好_2010年12月税收计划完成情况通报表" xfId="2705"/>
    <cellStyle name="好_2010年12月税收计划完成情况通报表 2" xfId="2706"/>
    <cellStyle name="好_2010年12月税收计划完成情况通报表 2 2" xfId="2707"/>
    <cellStyle name="好_2010年12月税收计划完成情况通报表 2 2 2" xfId="2708"/>
    <cellStyle name="好_2010年12月税收计划完成情况通报表 2 2 2 2" xfId="2709"/>
    <cellStyle name="好_2010年12月税收计划完成情况通报表 2 2 2 2 2" xfId="2710"/>
    <cellStyle name="好_2010年12月税收计划完成情况通报表 2 2 2 2 2 2" xfId="9823"/>
    <cellStyle name="好_2010年12月税收计划完成情况通报表 2 2 2 2 3" xfId="4533"/>
    <cellStyle name="好_2010年12月税收计划完成情况通报表 2 2 2 2 4" xfId="5370"/>
    <cellStyle name="好_2010年12月税收计划完成情况通报表 2 2 2 3" xfId="2711"/>
    <cellStyle name="好_2010年12月税收计划完成情况通报表 2 2 2 3 2" xfId="9166"/>
    <cellStyle name="好_2010年12月税收计划完成情况通报表 2 2 2 4" xfId="2712"/>
    <cellStyle name="好_2010年12月税收计划完成情况通报表 2 2 2 4 2" xfId="5371"/>
    <cellStyle name="好_2010年12月税收计划完成情况通报表 2 2 2 5" xfId="4532"/>
    <cellStyle name="好_2010年12月税收计划完成情况通报表 2 2 2 6" xfId="5369"/>
    <cellStyle name="好_2010年12月税收计划完成情况通报表 2 2 3" xfId="2713"/>
    <cellStyle name="好_2010年12月税收计划完成情况通报表 2 2 3 2" xfId="2714"/>
    <cellStyle name="好_2010年12月税收计划完成情况通报表 2 2 3 2 2" xfId="9822"/>
    <cellStyle name="好_2010年12月税收计划完成情况通报表 2 2 3 3" xfId="4534"/>
    <cellStyle name="好_2010年12月税收计划完成情况通报表 2 2 3 4" xfId="5372"/>
    <cellStyle name="好_2010年12月税收计划完成情况通报表 2 2 4" xfId="2715"/>
    <cellStyle name="好_2010年12月税收计划完成情况通报表 2 2 4 2" xfId="5373"/>
    <cellStyle name="好_2010年12月税收计划完成情况通报表 2 2 5" xfId="2716"/>
    <cellStyle name="好_2010年12月税收计划完成情况通报表 2 2 5 2" xfId="5374"/>
    <cellStyle name="好_2010年12月税收计划完成情况通报表 2 2 6" xfId="4531"/>
    <cellStyle name="好_2010年12月税收计划完成情况通报表 2 2 7" xfId="9821"/>
    <cellStyle name="好_2010年12月税收计划完成情况通报表 2 3" xfId="2717"/>
    <cellStyle name="好_2010年12月税收计划完成情况通报表 2 3 2" xfId="2718"/>
    <cellStyle name="好_2010年12月税收计划完成情况通报表 2 3 2 2" xfId="2719"/>
    <cellStyle name="好_2010年12月税收计划完成情况通报表 2 3 2 2 2" xfId="5375"/>
    <cellStyle name="好_2010年12月税收计划完成情况通报表 2 3 2 3" xfId="4536"/>
    <cellStyle name="好_2010年12月税收计划完成情况通报表 2 3 2 4" xfId="9165"/>
    <cellStyle name="好_2010年12月税收计划完成情况通报表 2 3 3" xfId="2720"/>
    <cellStyle name="好_2010年12月税收计划完成情况通报表 2 3 3 2" xfId="5376"/>
    <cellStyle name="好_2010年12月税收计划完成情况通报表 2 3 4" xfId="2721"/>
    <cellStyle name="好_2010年12月税收计划完成情况通报表 2 3 4 2" xfId="9824"/>
    <cellStyle name="好_2010年12月税收计划完成情况通报表 2 3 5" xfId="4535"/>
    <cellStyle name="好_2010年12月税收计划完成情况通报表 2 3 5 2" xfId="6896"/>
    <cellStyle name="好_2010年12月税收计划完成情况通报表 2 3 6" xfId="8233"/>
    <cellStyle name="好_2010年12月税收计划完成情况通报表 2 4" xfId="2722"/>
    <cellStyle name="好_2010年12月税收计划完成情况通报表 2 4 2" xfId="2723"/>
    <cellStyle name="好_2010年12月税收计划完成情况通报表 2 4 2 2" xfId="5378"/>
    <cellStyle name="好_2010年12月税收计划完成情况通报表 2 4 3" xfId="4537"/>
    <cellStyle name="好_2010年12月税收计划完成情况通报表 2 4 4" xfId="5377"/>
    <cellStyle name="好_2010年12月税收计划完成情况通报表 2 5" xfId="2724"/>
    <cellStyle name="好_2010年12月税收计划完成情况通报表 2 5 2" xfId="9826"/>
    <cellStyle name="好_2010年12月税收计划完成情况通报表 2 6" xfId="2725"/>
    <cellStyle name="好_2010年12月税收计划完成情况通报表 2 6 2" xfId="5379"/>
    <cellStyle name="好_2010年12月税收计划完成情况通报表 2 7" xfId="4530"/>
    <cellStyle name="好_2010年12月税收计划完成情况通报表 3" xfId="2726"/>
    <cellStyle name="好_2010年12月税收计划完成情况通报表 3 2" xfId="2727"/>
    <cellStyle name="好_2010年12月税收计划完成情况通报表 3 2 2" xfId="9825"/>
    <cellStyle name="好_2010年12月税收计划完成情况通报表 3 3" xfId="4538"/>
    <cellStyle name="好_2010年12月税收计划完成情况通报表 3 4" xfId="5380"/>
    <cellStyle name="好_2010年12月税收计划完成情况通报表 4" xfId="2728"/>
    <cellStyle name="好_2010年12月税收计划完成情况通报表 4 2" xfId="5381"/>
    <cellStyle name="好_2010年12月税收计划完成情况通报表 5" xfId="2729"/>
    <cellStyle name="好_2010年12月税收计划完成情况通报表 5 2" xfId="5382"/>
    <cellStyle name="好_2010年12月税收计划完成情况通报表 6" xfId="4529"/>
    <cellStyle name="好_2010年12月税收计划完成情况通报表 6 2" xfId="6895"/>
    <cellStyle name="好_2014年一般预入计划(发改委简化表)" xfId="2730"/>
    <cellStyle name="好_2014年一般预入计划(发改委简化表) 2" xfId="2731"/>
    <cellStyle name="好_2014年一般预入计划(发改委简化表) 2 2" xfId="2732"/>
    <cellStyle name="好_2014年一般预入计划(发改委简化表) 2 2 2" xfId="2733"/>
    <cellStyle name="好_2014年一般预入计划(发改委简化表) 2 2 2 2" xfId="2734"/>
    <cellStyle name="好_2014年一般预入计划(发改委简化表) 2 2 2 2 2" xfId="2735"/>
    <cellStyle name="好_2014年一般预入计划(发改委简化表) 2 2 2 2 2 2" xfId="5385"/>
    <cellStyle name="好_2014年一般预入计划(发改委简化表) 2 2 2 2 3" xfId="4543"/>
    <cellStyle name="好_2014年一般预入计划(发改委简化表) 2 2 2 2 4" xfId="9160"/>
    <cellStyle name="好_2014年一般预入计划(发改委简化表) 2 2 2 3" xfId="2736"/>
    <cellStyle name="好_2014年一般预入计划(发改委简化表) 2 2 2 3 2" xfId="5386"/>
    <cellStyle name="好_2014年一般预入计划(发改委简化表) 2 2 2 4" xfId="2737"/>
    <cellStyle name="好_2014年一般预入计划(发改委简化表) 2 2 2 4 2" xfId="9827"/>
    <cellStyle name="好_2014年一般预入计划(发改委简化表) 2 2 2 5" xfId="4542"/>
    <cellStyle name="好_2014年一般预入计划(发改委简化表) 2 2 2 6" xfId="5384"/>
    <cellStyle name="好_2014年一般预入计划(发改委简化表) 2 2 3" xfId="2738"/>
    <cellStyle name="好_2014年一般预入计划(发改委简化表) 2 2 3 2" xfId="2739"/>
    <cellStyle name="好_2014年一般预入计划(发改委简化表) 2 2 3 2 2" xfId="5388"/>
    <cellStyle name="好_2014年一般预入计划(发改委简化表) 2 2 3 3" xfId="4544"/>
    <cellStyle name="好_2014年一般预入计划(发改委简化表) 2 2 3 4" xfId="5387"/>
    <cellStyle name="好_2014年一般预入计划(发改委简化表) 2 2 4" xfId="2740"/>
    <cellStyle name="好_2014年一般预入计划(发改委简化表) 2 2 4 2" xfId="9161"/>
    <cellStyle name="好_2014年一般预入计划(发改委简化表) 2 2 5" xfId="2741"/>
    <cellStyle name="好_2014年一般预入计划(发改委简化表) 2 2 5 2" xfId="5389"/>
    <cellStyle name="好_2014年一般预入计划(发改委简化表) 2 2 6" xfId="4541"/>
    <cellStyle name="好_2014年一般预入计划(发改委简化表) 2 2 7" xfId="5383"/>
    <cellStyle name="好_2014年一般预入计划(发改委简化表) 2 3" xfId="2742"/>
    <cellStyle name="好_2014年一般预入计划(发改委简化表) 2 3 2" xfId="2743"/>
    <cellStyle name="好_2014年一般预入计划(发改委简化表) 2 3 2 2" xfId="2744"/>
    <cellStyle name="好_2014年一般预入计划(发改委简化表) 2 3 2 2 2" xfId="5390"/>
    <cellStyle name="好_2014年一般预入计划(发改委简化表) 2 3 2 3" xfId="4546"/>
    <cellStyle name="好_2014年一般预入计划(发改委简化表) 2 3 2 4" xfId="9828"/>
    <cellStyle name="好_2014年一般预入计划(发改委简化表) 2 3 3" xfId="2745"/>
    <cellStyle name="好_2014年一般预入计划(发改委简化表) 2 3 3 2" xfId="5391"/>
    <cellStyle name="好_2014年一般预入计划(发改委简化表) 2 3 4" xfId="2746"/>
    <cellStyle name="好_2014年一般预入计划(发改委简化表) 2 3 4 2" xfId="9830"/>
    <cellStyle name="好_2014年一般预入计划(发改委简化表) 2 3 5" xfId="4545"/>
    <cellStyle name="好_2014年一般预入计划(发改委简化表) 2 3 5 2" xfId="6898"/>
    <cellStyle name="好_2014年一般预入计划(发改委简化表) 2 3 6" xfId="8232"/>
    <cellStyle name="好_2014年一般预入计划(发改委简化表) 2 4" xfId="2747"/>
    <cellStyle name="好_2014年一般预入计划(发改委简化表) 2 4 2" xfId="2748"/>
    <cellStyle name="好_2014年一般预入计划(发改委简化表) 2 4 2 2" xfId="5392"/>
    <cellStyle name="好_2014年一般预入计划(发改委简化表) 2 4 3" xfId="4547"/>
    <cellStyle name="好_2014年一般预入计划(发改委简化表) 2 4 4" xfId="9163"/>
    <cellStyle name="好_2014年一般预入计划(发改委简化表) 2 5" xfId="2749"/>
    <cellStyle name="好_2014年一般预入计划(发改委简化表) 2 5 2" xfId="5393"/>
    <cellStyle name="好_2014年一般预入计划(发改委简化表) 2 6" xfId="2750"/>
    <cellStyle name="好_2014年一般预入计划(发改委简化表) 2 6 2" xfId="9829"/>
    <cellStyle name="好_2014年一般预入计划(发改委简化表) 2 7" xfId="4540"/>
    <cellStyle name="好_2014年一般预入计划(发改委简化表) 3" xfId="2751"/>
    <cellStyle name="好_2014年一般预入计划(发改委简化表) 3 2" xfId="2752"/>
    <cellStyle name="好_2014年一般预入计划(发改委简化表) 3 2 2" xfId="5395"/>
    <cellStyle name="好_2014年一般预入计划(发改委简化表) 3 3" xfId="4548"/>
    <cellStyle name="好_2014年一般预入计划(发改委简化表) 3 4" xfId="5394"/>
    <cellStyle name="好_2014年一般预入计划(发改委简化表) 4" xfId="2753"/>
    <cellStyle name="好_2014年一般预入计划(发改委简化表) 4 2" xfId="5396"/>
    <cellStyle name="好_2014年一般预入计划(发改委简化表) 5" xfId="2754"/>
    <cellStyle name="好_2014年一般预入计划(发改委简化表) 5 2" xfId="9162"/>
    <cellStyle name="好_2014年一般预入计划(发改委简化表) 6" xfId="4539"/>
    <cellStyle name="好_2014年一般预入计划(发改委简化表) 6 2" xfId="6897"/>
    <cellStyle name="好_2014年一般预入计划(市政府下达)" xfId="2755"/>
    <cellStyle name="好_2014年一般预入计划(市政府下达) 2" xfId="2756"/>
    <cellStyle name="好_2014年一般预入计划(市政府下达) 2 2" xfId="2757"/>
    <cellStyle name="好_2014年一般预入计划(市政府下达) 2 2 2" xfId="2758"/>
    <cellStyle name="好_2014年一般预入计划(市政府下达) 2 2 2 2" xfId="2759"/>
    <cellStyle name="好_2014年一般预入计划(市政府下达) 2 2 2 2 2" xfId="2760"/>
    <cellStyle name="好_2014年一般预入计划(市政府下达) 2 2 2 2 2 2" xfId="9833"/>
    <cellStyle name="好_2014年一般预入计划(市政府下达) 2 2 2 2 3" xfId="4553"/>
    <cellStyle name="好_2014年一般预入计划(市政府下达) 2 2 2 2 4" xfId="5398"/>
    <cellStyle name="好_2014年一般预入计划(市政府下达) 2 2 2 3" xfId="2761"/>
    <cellStyle name="好_2014年一般预入计划(市政府下达) 2 2 2 3 2" xfId="5399"/>
    <cellStyle name="好_2014年一般预入计划(市政府下达) 2 2 2 4" xfId="2762"/>
    <cellStyle name="好_2014年一般预入计划(市政府下达) 2 2 2 4 2" xfId="5400"/>
    <cellStyle name="好_2014年一般预入计划(市政府下达) 2 2 2 5" xfId="4552"/>
    <cellStyle name="好_2014年一般预入计划(市政府下达) 2 2 2 6" xfId="5397"/>
    <cellStyle name="好_2014年一般预入计划(市政府下达) 2 2 3" xfId="2763"/>
    <cellStyle name="好_2014年一般预入计划(市政府下达) 2 2 3 2" xfId="2764"/>
    <cellStyle name="好_2014年一般预入计划(市政府下达) 2 2 3 2 2" xfId="5401"/>
    <cellStyle name="好_2014年一般预入计划(市政府下达) 2 2 3 3" xfId="4554"/>
    <cellStyle name="好_2014年一般预入计划(市政府下达) 2 2 3 4" xfId="9832"/>
    <cellStyle name="好_2014年一般预入计划(市政府下达) 2 2 4" xfId="2765"/>
    <cellStyle name="好_2014年一般预入计划(市政府下达) 2 2 4 2" xfId="5402"/>
    <cellStyle name="好_2014年一般预入计划(市政府下达) 2 2 5" xfId="2766"/>
    <cellStyle name="好_2014年一般预入计划(市政府下达) 2 2 5 2" xfId="6323"/>
    <cellStyle name="好_2014年一般预入计划(市政府下达) 2 2 6" xfId="4551"/>
    <cellStyle name="好_2014年一般预入计划(市政府下达) 2 2 7" xfId="9831"/>
    <cellStyle name="好_2014年一般预入计划(市政府下达) 2 3" xfId="2767"/>
    <cellStyle name="好_2014年一般预入计划(市政府下达) 2 3 2" xfId="2768"/>
    <cellStyle name="好_2014年一般预入计划(市政府下达) 2 3 2 2" xfId="2769"/>
    <cellStyle name="好_2014年一般预入计划(市政府下达) 2 3 2 2 2" xfId="5404"/>
    <cellStyle name="好_2014年一般预入计划(市政府下达) 2 3 2 3" xfId="4556"/>
    <cellStyle name="好_2014年一般预入计划(市政府下达) 2 3 2 4" xfId="5403"/>
    <cellStyle name="好_2014年一般预入计划(市政府下达) 2 3 3" xfId="2770"/>
    <cellStyle name="好_2014年一般预入计划(市政府下达) 2 3 3 2" xfId="9156"/>
    <cellStyle name="好_2014年一般预入计划(市政府下达) 2 3 4" xfId="2771"/>
    <cellStyle name="好_2014年一般预入计划(市政府下达) 2 3 4 2" xfId="6322"/>
    <cellStyle name="好_2014年一般预入计划(市政府下达) 2 3 5" xfId="4555"/>
    <cellStyle name="好_2014年一般预入计划(市政府下达) 2 3 5 2" xfId="6900"/>
    <cellStyle name="好_2014年一般预入计划(市政府下达) 2 3 6" xfId="8231"/>
    <cellStyle name="好_2014年一般预入计划(市政府下达) 2 4" xfId="2772"/>
    <cellStyle name="好_2014年一般预入计划(市政府下达) 2 4 2" xfId="2773"/>
    <cellStyle name="好_2014年一般预入计划(市政府下达) 2 4 2 2" xfId="9834"/>
    <cellStyle name="好_2014年一般预入计划(市政府下达) 2 4 3" xfId="4557"/>
    <cellStyle name="好_2014年一般预入计划(市政府下达) 2 4 4" xfId="5405"/>
    <cellStyle name="好_2014年一般预入计划(市政府下达) 2 5" xfId="2774"/>
    <cellStyle name="好_2014年一般预入计划(市政府下达) 2 5 2" xfId="5406"/>
    <cellStyle name="好_2014年一般预入计划(市政府下达) 2 6" xfId="2775"/>
    <cellStyle name="好_2014年一般预入计划(市政府下达) 2 6 2" xfId="5407"/>
    <cellStyle name="好_2014年一般预入计划(市政府下达) 2 7" xfId="4550"/>
    <cellStyle name="好_2014年一般预入计划(市政府下达) 3" xfId="2776"/>
    <cellStyle name="好_2014年一般预入计划(市政府下达) 3 2" xfId="2777"/>
    <cellStyle name="好_2014年一般预入计划(市政府下达) 3 2 2" xfId="5408"/>
    <cellStyle name="好_2014年一般预入计划(市政府下达) 3 3" xfId="4558"/>
    <cellStyle name="好_2014年一般预入计划(市政府下达) 3 4" xfId="9157"/>
    <cellStyle name="好_2014年一般预入计划(市政府下达) 4" xfId="2778"/>
    <cellStyle name="好_2014年一般预入计划(市政府下达) 4 2" xfId="6327"/>
    <cellStyle name="好_2014年一般预入计划(市政府下达) 5" xfId="2779"/>
    <cellStyle name="好_2014年一般预入计划(市政府下达) 5 2" xfId="9835"/>
    <cellStyle name="好_2014年一般预入计划(市政府下达) 6" xfId="4549"/>
    <cellStyle name="好_2014年一般预入计划(市政府下达) 6 2" xfId="6899"/>
    <cellStyle name="好_2015功能预算正式本表4.30" xfId="2780"/>
    <cellStyle name="好_2015功能预算正式本表4.30 2" xfId="2781"/>
    <cellStyle name="好_2015功能预算正式本表4.30 2 2" xfId="2782"/>
    <cellStyle name="好_2015功能预算正式本表4.30 2 2 2" xfId="2783"/>
    <cellStyle name="好_2015功能预算正式本表4.30 2 2 2 2" xfId="2784"/>
    <cellStyle name="好_2015功能预算正式本表4.30 2 2 2 2 2" xfId="2785"/>
    <cellStyle name="好_2015功能预算正式本表4.30 2 2 2 2 2 2" xfId="5409"/>
    <cellStyle name="好_2015功能预算正式本表4.30 2 2 2 2 3" xfId="4563"/>
    <cellStyle name="好_2015功能预算正式本表4.30 2 2 2 2 4" xfId="6321"/>
    <cellStyle name="好_2015功能预算正式本表4.30 2 2 2 3" xfId="2786"/>
    <cellStyle name="好_2015功能预算正式本表4.30 2 2 2 3 2" xfId="9836"/>
    <cellStyle name="好_2015功能预算正式本表4.30 2 2 2 4" xfId="2787"/>
    <cellStyle name="好_2015功能预算正式本表4.30 2 2 2 4 2" xfId="5410"/>
    <cellStyle name="好_2015功能预算正式本表4.30 2 2 2 5" xfId="4562"/>
    <cellStyle name="好_2015功能预算正式本表4.30 2 2 2 6" xfId="9159"/>
    <cellStyle name="好_2015功能预算正式本表4.30 2 2 3" xfId="2788"/>
    <cellStyle name="好_2015功能预算正式本表4.30 2 2 3 2" xfId="2789"/>
    <cellStyle name="好_2015功能预算正式本表4.30 2 2 3 2 2" xfId="5412"/>
    <cellStyle name="好_2015功能预算正式本表4.30 2 2 3 3" xfId="4564"/>
    <cellStyle name="好_2015功能预算正式本表4.30 2 2 3 4" xfId="5411"/>
    <cellStyle name="好_2015功能预算正式本表4.30 2 2 4" xfId="2790"/>
    <cellStyle name="好_2015功能预算正式本表4.30 2 2 4 2" xfId="9158"/>
    <cellStyle name="好_2015功能预算正式本表4.30 2 2 5" xfId="2791"/>
    <cellStyle name="好_2015功能预算正式本表4.30 2 2 5 2" xfId="5413"/>
    <cellStyle name="好_2015功能预算正式本表4.30 2 2 6" xfId="4561"/>
    <cellStyle name="好_2015功能预算正式本表4.30 2 2 7" xfId="9837"/>
    <cellStyle name="好_2015功能预算正式本表4.30 2 3" xfId="2792"/>
    <cellStyle name="好_2015功能预算正式本表4.30 2 3 2" xfId="2793"/>
    <cellStyle name="好_2015功能预算正式本表4.30 2 3 2 2" xfId="2794"/>
    <cellStyle name="好_2015功能预算正式本表4.30 2 3 2 2 2" xfId="6331"/>
    <cellStyle name="好_2015功能预算正式本表4.30 2 3 2 3" xfId="4566"/>
    <cellStyle name="好_2015功能预算正式本表4.30 2 3 2 4" xfId="9838"/>
    <cellStyle name="好_2015功能预算正式本表4.30 2 3 3" xfId="2795"/>
    <cellStyle name="好_2015功能预算正式本表4.30 2 3 3 2" xfId="5414"/>
    <cellStyle name="好_2015功能预算正式本表4.30 2 3 4" xfId="2796"/>
    <cellStyle name="好_2015功能预算正式本表4.30 2 3 4 2" xfId="9840"/>
    <cellStyle name="好_2015功能预算正式本表4.30 2 3 5" xfId="4565"/>
    <cellStyle name="好_2015功能预算正式本表4.30 2 3 5 2" xfId="6902"/>
    <cellStyle name="好_2015功能预算正式本表4.30 2 3 6" xfId="8230"/>
    <cellStyle name="好_2015功能预算正式本表4.30 2 4" xfId="2797"/>
    <cellStyle name="好_2015功能预算正式本表4.30 2 4 2" xfId="2798"/>
    <cellStyle name="好_2015功能预算正式本表4.30 2 4 2 2" xfId="5416"/>
    <cellStyle name="好_2015功能预算正式本表4.30 2 4 3" xfId="4567"/>
    <cellStyle name="好_2015功能预算正式本表4.30 2 4 4" xfId="5415"/>
    <cellStyle name="好_2015功能预算正式本表4.30 2 5" xfId="2799"/>
    <cellStyle name="好_2015功能预算正式本表4.30 2 5 2" xfId="9839"/>
    <cellStyle name="好_2015功能预算正式本表4.30 2 6" xfId="2800"/>
    <cellStyle name="好_2015功能预算正式本表4.30 2 6 2" xfId="6330"/>
    <cellStyle name="好_2015功能预算正式本表4.30 2 7" xfId="4560"/>
    <cellStyle name="好_2015功能预算正式本表4.30 3" xfId="2801"/>
    <cellStyle name="好_2015功能预算正式本表4.30 3 2" xfId="2802"/>
    <cellStyle name="好_2015功能预算正式本表4.30 3 2 2" xfId="5418"/>
    <cellStyle name="好_2015功能预算正式本表4.30 3 3" xfId="4568"/>
    <cellStyle name="好_2015功能预算正式本表4.30 3 4" xfId="5417"/>
    <cellStyle name="好_2015功能预算正式本表4.30 4" xfId="2803"/>
    <cellStyle name="好_2015功能预算正式本表4.30 4 2" xfId="5419"/>
    <cellStyle name="好_2015功能预算正式本表4.30 5" xfId="2804"/>
    <cellStyle name="好_2015功能预算正式本表4.30 5 2" xfId="5420"/>
    <cellStyle name="好_2015功能预算正式本表4.30 6" xfId="4559"/>
    <cellStyle name="好_2015功能预算正式本表4.30 6 2" xfId="6901"/>
    <cellStyle name="好_2015年一般预入计划(简化表)" xfId="2805"/>
    <cellStyle name="好_2015年一般预入计划(简化表) 2" xfId="2806"/>
    <cellStyle name="好_2015年一般预入计划(简化表) 2 2" xfId="2807"/>
    <cellStyle name="好_2015年一般预入计划(简化表) 2 2 2" xfId="2808"/>
    <cellStyle name="好_2015年一般预入计划(简化表) 2 2 2 2" xfId="2809"/>
    <cellStyle name="好_2015年一般预入计划(简化表) 2 2 2 2 2" xfId="2810"/>
    <cellStyle name="好_2015年一般预入计划(简化表) 2 2 2 2 2 2" xfId="6329"/>
    <cellStyle name="好_2015年一般预入计划(简化表) 2 2 2 2 3" xfId="4573"/>
    <cellStyle name="好_2015年一般预入计划(简化表) 2 2 2 2 4" xfId="9841"/>
    <cellStyle name="好_2015年一般预入计划(简化表) 2 2 2 3" xfId="2811"/>
    <cellStyle name="好_2015年一般预入计划(简化表) 2 2 2 3 2" xfId="5423"/>
    <cellStyle name="好_2015年一般预入计划(简化表) 2 2 2 4" xfId="2812"/>
    <cellStyle name="好_2015年一般预入计划(简化表) 2 2 2 4 2" xfId="9153"/>
    <cellStyle name="好_2015年一般预入计划(简化表) 2 2 2 5" xfId="4572"/>
    <cellStyle name="好_2015年一般预入计划(简化表) 2 2 2 6" xfId="5422"/>
    <cellStyle name="好_2015年一般预入计划(简化表) 2 2 3" xfId="2813"/>
    <cellStyle name="好_2015年一般预入计划(简化表) 2 2 3 2" xfId="2814"/>
    <cellStyle name="好_2015年一般预入计划(简化表) 2 2 3 2 2" xfId="5425"/>
    <cellStyle name="好_2015年一般预入计划(简化表) 2 2 3 3" xfId="4574"/>
    <cellStyle name="好_2015年一般预入计划(简化表) 2 2 3 4" xfId="5424"/>
    <cellStyle name="好_2015年一般预入计划(简化表) 2 2 4" xfId="2815"/>
    <cellStyle name="好_2015年一般预入计划(简化表) 2 2 4 2" xfId="9842"/>
    <cellStyle name="好_2015年一般预入计划(简化表) 2 2 5" xfId="2816"/>
    <cellStyle name="好_2015年一般预入计划(简化表) 2 2 5 2" xfId="5426"/>
    <cellStyle name="好_2015年一般预入计划(简化表) 2 2 6" xfId="4571"/>
    <cellStyle name="好_2015年一般预入计划(简化表) 2 2 7" xfId="5421"/>
    <cellStyle name="好_2015年一般预入计划(简化表) 2 3" xfId="2817"/>
    <cellStyle name="好_2015年一般预入计划(简化表) 2 3 2" xfId="2818"/>
    <cellStyle name="好_2015年一般预入计划(简化表) 2 3 2 2" xfId="2819"/>
    <cellStyle name="好_2015年一般预入计划(简化表) 2 3 2 2 2" xfId="9155"/>
    <cellStyle name="好_2015年一般预入计划(简化表) 2 3 2 3" xfId="4576"/>
    <cellStyle name="好_2015年一般预入计划(简化表) 2 3 2 4" xfId="9844"/>
    <cellStyle name="好_2015年一般预入计划(简化表) 2 3 3" xfId="2820"/>
    <cellStyle name="好_2015年一般预入计划(简化表) 2 3 3 2" xfId="5427"/>
    <cellStyle name="好_2015年一般预入计划(简化表) 2 3 4" xfId="2821"/>
    <cellStyle name="好_2015年一般预入计划(简化表) 2 3 4 2" xfId="5428"/>
    <cellStyle name="好_2015年一般预入计划(简化表) 2 3 5" xfId="4575"/>
    <cellStyle name="好_2015年一般预入计划(简化表) 2 3 5 2" xfId="6904"/>
    <cellStyle name="好_2015年一般预入计划(简化表) 2 3 6" xfId="8229"/>
    <cellStyle name="好_2015年一般预入计划(简化表) 2 4" xfId="2822"/>
    <cellStyle name="好_2015年一般预入计划(简化表) 2 4 2" xfId="2823"/>
    <cellStyle name="好_2015年一般预入计划(简化表) 2 4 2 2" xfId="5429"/>
    <cellStyle name="好_2015年一般预入计划(简化表) 2 4 3" xfId="4577"/>
    <cellStyle name="好_2015年一般预入计划(简化表) 2 4 4" xfId="9843"/>
    <cellStyle name="好_2015年一般预入计划(简化表) 2 5" xfId="2824"/>
    <cellStyle name="好_2015年一般预入计划(简化表) 2 5 2" xfId="5430"/>
    <cellStyle name="好_2015年一般预入计划(简化表) 2 6" xfId="2825"/>
    <cellStyle name="好_2015年一般预入计划(简化表) 2 6 2" xfId="6336"/>
    <cellStyle name="好_2015年一般预入计划(简化表) 2 7" xfId="4570"/>
    <cellStyle name="好_2015年一般预入计划(简化表) 3" xfId="2826"/>
    <cellStyle name="好_2015年一般预入计划(简化表) 3 2" xfId="2827"/>
    <cellStyle name="好_2015年一般预入计划(简化表) 3 2 2" xfId="5431"/>
    <cellStyle name="好_2015年一般预入计划(简化表) 3 3" xfId="4578"/>
    <cellStyle name="好_2015年一般预入计划(简化表) 3 4" xfId="9154"/>
    <cellStyle name="好_2015年一般预入计划(简化表) 4" xfId="2828"/>
    <cellStyle name="好_2015年一般预入计划(简化表) 4 2" xfId="5432"/>
    <cellStyle name="好_2015年一般预入计划(简化表) 5" xfId="2829"/>
    <cellStyle name="好_2015年一般预入计划(简化表) 5 2" xfId="9845"/>
    <cellStyle name="好_2015年一般预入计划(简化表) 6" xfId="4569"/>
    <cellStyle name="好_2015年一般预入计划(简化表) 6 2" xfId="6903"/>
    <cellStyle name="好_2016年新宾县一般公共预算收入预算表" xfId="2830"/>
    <cellStyle name="好_2016年新宾县一般公共预算收入预算表 2" xfId="2831"/>
    <cellStyle name="好_2016年新宾县一般公共预算收入预算表 2 2" xfId="2832"/>
    <cellStyle name="好_2016年新宾县一般公共预算收入预算表 2 2 2" xfId="6907"/>
    <cellStyle name="好_2016年新宾县一般公共预算收入预算表 2 2 3" xfId="9847"/>
    <cellStyle name="好_2016年新宾县一般公共预算收入预算表 2 3" xfId="4580"/>
    <cellStyle name="好_2016年新宾县一般公共预算收入预算表 2 3 2" xfId="6908"/>
    <cellStyle name="好_2016年新宾县一般公共预算收入预算表 2 4" xfId="6906"/>
    <cellStyle name="好_2016年新宾县一般公共预算收入预算表 3" xfId="2833"/>
    <cellStyle name="好_2016年新宾县一般公共预算收入预算表 3 2" xfId="5433"/>
    <cellStyle name="好_2016年新宾县一般公共预算收入预算表 4" xfId="2834"/>
    <cellStyle name="好_2016年新宾县一般公共预算收入预算表 4 2" xfId="5434"/>
    <cellStyle name="好_2016年新宾县一般公共预算收入预算表 5" xfId="4579"/>
    <cellStyle name="好_2016年新宾县一般公共预算收入预算表 5 2" xfId="6905"/>
    <cellStyle name="好_2016年一般预入计划" xfId="2835"/>
    <cellStyle name="好_2016年一般预入计划 2" xfId="2836"/>
    <cellStyle name="好_2016年一般预入计划 2 2" xfId="2837"/>
    <cellStyle name="好_2016年一般预入计划 2 2 2" xfId="2838"/>
    <cellStyle name="好_2016年一般预入计划 2 2 2 2" xfId="2839"/>
    <cellStyle name="好_2016年一般预入计划 2 2 2 2 2" xfId="2840"/>
    <cellStyle name="好_2016年一般预入计划 2 2 2 2 2 2" xfId="5438"/>
    <cellStyle name="好_2016年一般预入计划 2 2 2 2 3" xfId="4585"/>
    <cellStyle name="好_2016年一般预入计划 2 2 2 2 4" xfId="6344"/>
    <cellStyle name="好_2016年一般预入计划 2 2 2 3" xfId="2841"/>
    <cellStyle name="好_2016年一般预入计划 2 2 2 3 2" xfId="5439"/>
    <cellStyle name="好_2016年一般预入计划 2 2 2 4" xfId="2842"/>
    <cellStyle name="好_2016年一般预入计划 2 2 2 4 2" xfId="9150"/>
    <cellStyle name="好_2016年一般预入计划 2 2 2 5" xfId="4584"/>
    <cellStyle name="好_2016年一般预入计划 2 2 2 6" xfId="5437"/>
    <cellStyle name="好_2016年一般预入计划 2 2 3" xfId="2843"/>
    <cellStyle name="好_2016年一般预入计划 2 2 3 2" xfId="2844"/>
    <cellStyle name="好_2016年一般预入计划 2 2 3 2 2" xfId="5441"/>
    <cellStyle name="好_2016年一般预入计划 2 2 3 3" xfId="4586"/>
    <cellStyle name="好_2016年一般预入计划 2 2 3 4" xfId="5440"/>
    <cellStyle name="好_2016年一般预入计划 2 2 4" xfId="2845"/>
    <cellStyle name="好_2016年一般预入计划 2 2 4 2" xfId="9848"/>
    <cellStyle name="好_2016年一般预入计划 2 2 5" xfId="2846"/>
    <cellStyle name="好_2016年一般预入计划 2 2 5 2" xfId="5442"/>
    <cellStyle name="好_2016年一般预入计划 2 2 6" xfId="4583"/>
    <cellStyle name="好_2016年一般预入计划 2 2 7" xfId="5436"/>
    <cellStyle name="好_2016年一般预入计划 2 3" xfId="2847"/>
    <cellStyle name="好_2016年一般预入计划 2 3 2" xfId="2848"/>
    <cellStyle name="好_2016年一般预入计划 2 3 2 2" xfId="2849"/>
    <cellStyle name="好_2016年一般预入计划 2 3 2 2 2" xfId="5444"/>
    <cellStyle name="好_2016年一般预入计划 2 3 2 3" xfId="4588"/>
    <cellStyle name="好_2016年一般预入计划 2 3 2 4" xfId="9151"/>
    <cellStyle name="好_2016年一般预入计划 2 3 3" xfId="2850"/>
    <cellStyle name="好_2016年一般预入计划 2 3 3 2" xfId="5445"/>
    <cellStyle name="好_2016年一般预入计划 2 3 4" xfId="2851"/>
    <cellStyle name="好_2016年一般预入计划 2 3 4 2" xfId="9849"/>
    <cellStyle name="好_2016年一般预入计划 2 3 5" xfId="4587"/>
    <cellStyle name="好_2016年一般预入计划 2 3 6" xfId="5443"/>
    <cellStyle name="好_2016年一般预入计划 2 4" xfId="2852"/>
    <cellStyle name="好_2016年一般预入计划 2 4 2" xfId="2853"/>
    <cellStyle name="好_2016年一般预入计划 2 4 2 2" xfId="5447"/>
    <cellStyle name="好_2016年一般预入计划 2 4 3" xfId="4589"/>
    <cellStyle name="好_2016年一般预入计划 2 4 4" xfId="5446"/>
    <cellStyle name="好_2016年一般预入计划 2 5" xfId="2854"/>
    <cellStyle name="好_2016年一般预入计划 2 5 2" xfId="9851"/>
    <cellStyle name="好_2016年一般预入计划 2 6" xfId="2855"/>
    <cellStyle name="好_2016年一般预入计划 2 6 2" xfId="9152"/>
    <cellStyle name="好_2016年一般预入计划 2 7" xfId="4582"/>
    <cellStyle name="好_2016年一般预入计划 2 8" xfId="5435"/>
    <cellStyle name="好_2016年一般预入计划 3" xfId="2856"/>
    <cellStyle name="好_2016年一般预入计划 3 2" xfId="2857"/>
    <cellStyle name="好_2016年一般预入计划 3 2 2" xfId="5449"/>
    <cellStyle name="好_2016年一般预入计划 3 3" xfId="4590"/>
    <cellStyle name="好_2016年一般预入计划 3 4" xfId="5448"/>
    <cellStyle name="好_2016年一般预入计划 4" xfId="2858"/>
    <cellStyle name="好_2016年一般预入计划 4 2" xfId="9850"/>
    <cellStyle name="好_2016年一般预入计划 5" xfId="2859"/>
    <cellStyle name="好_2016年一般预入计划 5 2" xfId="5450"/>
    <cellStyle name="好_2016年一般预入计划 6" xfId="4581"/>
    <cellStyle name="好_2016年一般预入计划 7" xfId="9846"/>
    <cellStyle name="汇总 2" xfId="2860"/>
    <cellStyle name="汇总 2 10" xfId="2861"/>
    <cellStyle name="汇总 2 10 2" xfId="2862"/>
    <cellStyle name="汇总 2 10 2 2" xfId="2863"/>
    <cellStyle name="汇总 2 10 2 2 2" xfId="6913"/>
    <cellStyle name="汇总 2 10 2 2 3" xfId="6912"/>
    <cellStyle name="汇总 2 10 2 3" xfId="2864"/>
    <cellStyle name="汇总 2 10 2 3 2" xfId="6914"/>
    <cellStyle name="汇总 2 10 2 4" xfId="2865"/>
    <cellStyle name="汇总 2 10 2 4 2" xfId="6915"/>
    <cellStyle name="汇总 2 10 2 5" xfId="2866"/>
    <cellStyle name="汇总 2 10 2 5 2" xfId="5451"/>
    <cellStyle name="汇总 2 10 2 6" xfId="6911"/>
    <cellStyle name="汇总 2 10 3" xfId="2867"/>
    <cellStyle name="汇总 2 10 3 2" xfId="6917"/>
    <cellStyle name="汇总 2 10 3 3" xfId="6916"/>
    <cellStyle name="汇总 2 10 4" xfId="2868"/>
    <cellStyle name="汇总 2 10 4 2" xfId="8227"/>
    <cellStyle name="汇总 2 10 5" xfId="2869"/>
    <cellStyle name="汇总 2 10 5 2" xfId="5452"/>
    <cellStyle name="汇总 2 10 6" xfId="6910"/>
    <cellStyle name="汇总 2 11" xfId="2870"/>
    <cellStyle name="汇总 2 11 2" xfId="2871"/>
    <cellStyle name="汇总 2 11 2 2" xfId="2872"/>
    <cellStyle name="汇总 2 11 2 2 2" xfId="6921"/>
    <cellStyle name="汇总 2 11 2 2 3" xfId="6920"/>
    <cellStyle name="汇总 2 11 2 3" xfId="2873"/>
    <cellStyle name="汇总 2 11 2 3 2" xfId="6922"/>
    <cellStyle name="汇总 2 11 2 4" xfId="2874"/>
    <cellStyle name="汇总 2 11 2 4 2" xfId="6923"/>
    <cellStyle name="汇总 2 11 2 5" xfId="2875"/>
    <cellStyle name="汇总 2 11 2 5 2" xfId="5453"/>
    <cellStyle name="汇总 2 11 2 6" xfId="6919"/>
    <cellStyle name="汇总 2 11 3" xfId="2876"/>
    <cellStyle name="汇总 2 11 3 2" xfId="6925"/>
    <cellStyle name="汇总 2 11 3 3" xfId="6924"/>
    <cellStyle name="汇总 2 11 4" xfId="2877"/>
    <cellStyle name="汇总 2 11 4 2" xfId="8226"/>
    <cellStyle name="汇总 2 11 5" xfId="2878"/>
    <cellStyle name="汇总 2 11 5 2" xfId="5454"/>
    <cellStyle name="汇总 2 11 6" xfId="6918"/>
    <cellStyle name="汇总 2 12" xfId="2879"/>
    <cellStyle name="汇总 2 12 2" xfId="2880"/>
    <cellStyle name="汇总 2 12 2 2" xfId="2881"/>
    <cellStyle name="汇总 2 12 2 2 2" xfId="6929"/>
    <cellStyle name="汇总 2 12 2 2 3" xfId="6928"/>
    <cellStyle name="汇总 2 12 2 3" xfId="2882"/>
    <cellStyle name="汇总 2 12 2 3 2" xfId="6930"/>
    <cellStyle name="汇总 2 12 2 4" xfId="2883"/>
    <cellStyle name="汇总 2 12 2 4 2" xfId="6931"/>
    <cellStyle name="汇总 2 12 2 5" xfId="2884"/>
    <cellStyle name="汇总 2 12 2 5 2" xfId="5455"/>
    <cellStyle name="汇总 2 12 2 6" xfId="6927"/>
    <cellStyle name="汇总 2 12 3" xfId="2885"/>
    <cellStyle name="汇总 2 12 3 2" xfId="6933"/>
    <cellStyle name="汇总 2 12 3 3" xfId="6932"/>
    <cellStyle name="汇总 2 12 4" xfId="2886"/>
    <cellStyle name="汇总 2 12 4 2" xfId="8225"/>
    <cellStyle name="汇总 2 12 5" xfId="2887"/>
    <cellStyle name="汇总 2 12 5 2" xfId="5456"/>
    <cellStyle name="汇总 2 12 6" xfId="6926"/>
    <cellStyle name="汇总 2 13" xfId="2888"/>
    <cellStyle name="汇总 2 13 2" xfId="2889"/>
    <cellStyle name="汇总 2 13 2 2" xfId="6936"/>
    <cellStyle name="汇总 2 13 2 3" xfId="6935"/>
    <cellStyle name="汇总 2 13 3" xfId="2890"/>
    <cellStyle name="汇总 2 13 3 2" xfId="6937"/>
    <cellStyle name="汇总 2 13 4" xfId="2891"/>
    <cellStyle name="汇总 2 13 4 2" xfId="6938"/>
    <cellStyle name="汇总 2 13 5" xfId="2892"/>
    <cellStyle name="汇总 2 13 5 2" xfId="5457"/>
    <cellStyle name="汇总 2 13 6" xfId="6934"/>
    <cellStyle name="汇总 2 14" xfId="2893"/>
    <cellStyle name="汇总 2 14 2" xfId="2894"/>
    <cellStyle name="汇总 2 14 2 2" xfId="6940"/>
    <cellStyle name="汇总 2 14 3" xfId="6939"/>
    <cellStyle name="汇总 2 15" xfId="2895"/>
    <cellStyle name="汇总 2 15 2" xfId="8224"/>
    <cellStyle name="汇总 2 16" xfId="2896"/>
    <cellStyle name="汇总 2 16 2" xfId="5458"/>
    <cellStyle name="汇总 2 17" xfId="4591"/>
    <cellStyle name="汇总 2 2" xfId="2897"/>
    <cellStyle name="汇总 2 2 2" xfId="2898"/>
    <cellStyle name="汇总 2 2 2 2" xfId="2899"/>
    <cellStyle name="汇总 2 2 2 2 2" xfId="2900"/>
    <cellStyle name="汇总 2 2 2 2 2 2" xfId="6941"/>
    <cellStyle name="汇总 2 2 2 2 3" xfId="2901"/>
    <cellStyle name="汇总 2 2 2 2 3 2" xfId="9149"/>
    <cellStyle name="汇总 2 2 2 2 4" xfId="2902"/>
    <cellStyle name="汇总 2 2 2 2 4 2" xfId="5459"/>
    <cellStyle name="汇总 2 2 2 2 5" xfId="4594"/>
    <cellStyle name="汇总 2 2 2 3" xfId="2903"/>
    <cellStyle name="汇总 2 2 2 3 2" xfId="6942"/>
    <cellStyle name="汇总 2 2 2 4" xfId="2904"/>
    <cellStyle name="汇总 2 2 2 4 2" xfId="6943"/>
    <cellStyle name="汇总 2 2 2 5" xfId="2905"/>
    <cellStyle name="汇总 2 2 2 5 2" xfId="9146"/>
    <cellStyle name="汇总 2 2 2 6" xfId="4593"/>
    <cellStyle name="汇总 2 2 3" xfId="2906"/>
    <cellStyle name="汇总 2 2 3 2" xfId="2907"/>
    <cellStyle name="汇总 2 2 3 2 2" xfId="6944"/>
    <cellStyle name="汇总 2 2 3 3" xfId="2908"/>
    <cellStyle name="汇总 2 2 3 3 2" xfId="8533"/>
    <cellStyle name="汇总 2 2 3 4" xfId="2909"/>
    <cellStyle name="汇总 2 2 3 4 2" xfId="9148"/>
    <cellStyle name="汇总 2 2 3 5" xfId="4595"/>
    <cellStyle name="汇总 2 2 4" xfId="2910"/>
    <cellStyle name="汇总 2 2 4 2" xfId="8223"/>
    <cellStyle name="汇总 2 2 5" xfId="2911"/>
    <cellStyle name="汇总 2 2 5 2" xfId="8222"/>
    <cellStyle name="汇总 2 2 6" xfId="4592"/>
    <cellStyle name="汇总 2 3" xfId="2912"/>
    <cellStyle name="汇总 2 3 2" xfId="2913"/>
    <cellStyle name="汇总 2 3 2 2" xfId="2914"/>
    <cellStyle name="汇总 2 3 2 2 2" xfId="2915"/>
    <cellStyle name="汇总 2 3 2 2 2 2" xfId="6945"/>
    <cellStyle name="汇总 2 3 2 2 3" xfId="2916"/>
    <cellStyle name="汇总 2 3 2 2 3 2" xfId="9147"/>
    <cellStyle name="汇总 2 3 2 2 4" xfId="2917"/>
    <cellStyle name="汇总 2 3 2 2 4 2" xfId="5460"/>
    <cellStyle name="汇总 2 3 2 2 5" xfId="4598"/>
    <cellStyle name="汇总 2 3 2 3" xfId="2918"/>
    <cellStyle name="汇总 2 3 2 3 2" xfId="6946"/>
    <cellStyle name="汇总 2 3 2 4" xfId="2919"/>
    <cellStyle name="汇总 2 3 2 4 2" xfId="6947"/>
    <cellStyle name="汇总 2 3 2 5" xfId="2920"/>
    <cellStyle name="汇总 2 3 2 5 2" xfId="5461"/>
    <cellStyle name="汇总 2 3 2 6" xfId="4597"/>
    <cellStyle name="汇总 2 3 3" xfId="2921"/>
    <cellStyle name="汇总 2 3 3 2" xfId="2922"/>
    <cellStyle name="汇总 2 3 3 2 2" xfId="6948"/>
    <cellStyle name="汇总 2 3 3 3" xfId="2923"/>
    <cellStyle name="汇总 2 3 3 3 2" xfId="9144"/>
    <cellStyle name="汇总 2 3 3 4" xfId="2924"/>
    <cellStyle name="汇总 2 3 3 4 2" xfId="5462"/>
    <cellStyle name="汇总 2 3 3 5" xfId="4599"/>
    <cellStyle name="汇总 2 3 4" xfId="2925"/>
    <cellStyle name="汇总 2 3 4 2" xfId="8221"/>
    <cellStyle name="汇总 2 3 5" xfId="2926"/>
    <cellStyle name="汇总 2 3 5 2" xfId="8220"/>
    <cellStyle name="汇总 2 3 6" xfId="4596"/>
    <cellStyle name="汇总 2 4" xfId="2927"/>
    <cellStyle name="汇总 2 4 2" xfId="2928"/>
    <cellStyle name="汇总 2 4 2 2" xfId="2929"/>
    <cellStyle name="汇总 2 4 2 2 2" xfId="6951"/>
    <cellStyle name="汇总 2 4 2 2 3" xfId="6950"/>
    <cellStyle name="汇总 2 4 2 3" xfId="2930"/>
    <cellStyle name="汇总 2 4 2 3 2" xfId="6952"/>
    <cellStyle name="汇总 2 4 2 4" xfId="2931"/>
    <cellStyle name="汇总 2 4 2 4 2" xfId="6953"/>
    <cellStyle name="汇总 2 4 2 5" xfId="2932"/>
    <cellStyle name="汇总 2 4 2 5 2" xfId="9145"/>
    <cellStyle name="汇总 2 4 2 6" xfId="6949"/>
    <cellStyle name="汇总 2 4 3" xfId="2933"/>
    <cellStyle name="汇总 2 4 3 2" xfId="6955"/>
    <cellStyle name="汇总 2 4 3 3" xfId="6954"/>
    <cellStyle name="汇总 2 4 4" xfId="2934"/>
    <cellStyle name="汇总 2 4 4 2" xfId="8219"/>
    <cellStyle name="汇总 2 4 5" xfId="2935"/>
    <cellStyle name="汇总 2 4 5 2" xfId="5463"/>
    <cellStyle name="汇总 2 4 6" xfId="4600"/>
    <cellStyle name="汇总 2 5" xfId="2936"/>
    <cellStyle name="汇总 2 5 2" xfId="2937"/>
    <cellStyle name="汇总 2 5 2 2" xfId="2938"/>
    <cellStyle name="汇总 2 5 2 2 2" xfId="6958"/>
    <cellStyle name="汇总 2 5 2 2 3" xfId="6957"/>
    <cellStyle name="汇总 2 5 2 3" xfId="2939"/>
    <cellStyle name="汇总 2 5 2 3 2" xfId="6959"/>
    <cellStyle name="汇总 2 5 2 4" xfId="2940"/>
    <cellStyle name="汇总 2 5 2 4 2" xfId="6960"/>
    <cellStyle name="汇总 2 5 2 5" xfId="2941"/>
    <cellStyle name="汇总 2 5 2 5 2" xfId="9142"/>
    <cellStyle name="汇总 2 5 2 6" xfId="6956"/>
    <cellStyle name="汇总 2 5 3" xfId="2942"/>
    <cellStyle name="汇总 2 5 3 2" xfId="6962"/>
    <cellStyle name="汇总 2 5 3 3" xfId="6961"/>
    <cellStyle name="汇总 2 5 4" xfId="2943"/>
    <cellStyle name="汇总 2 5 4 2" xfId="8218"/>
    <cellStyle name="汇总 2 5 5" xfId="2944"/>
    <cellStyle name="汇总 2 5 5 2" xfId="5464"/>
    <cellStyle name="汇总 2 5 6" xfId="4601"/>
    <cellStyle name="汇总 2 6" xfId="2945"/>
    <cellStyle name="汇总 2 6 2" xfId="2946"/>
    <cellStyle name="汇总 2 6 2 2" xfId="2947"/>
    <cellStyle name="汇总 2 6 2 2 2" xfId="6966"/>
    <cellStyle name="汇总 2 6 2 2 3" xfId="6965"/>
    <cellStyle name="汇总 2 6 2 3" xfId="2948"/>
    <cellStyle name="汇总 2 6 2 3 2" xfId="6967"/>
    <cellStyle name="汇总 2 6 2 4" xfId="2949"/>
    <cellStyle name="汇总 2 6 2 4 2" xfId="6968"/>
    <cellStyle name="汇总 2 6 2 5" xfId="2950"/>
    <cellStyle name="汇总 2 6 2 5 2" xfId="9143"/>
    <cellStyle name="汇总 2 6 2 6" xfId="6964"/>
    <cellStyle name="汇总 2 6 3" xfId="2951"/>
    <cellStyle name="汇总 2 6 3 2" xfId="6970"/>
    <cellStyle name="汇总 2 6 3 3" xfId="6969"/>
    <cellStyle name="汇总 2 6 4" xfId="2952"/>
    <cellStyle name="汇总 2 6 4 2" xfId="8217"/>
    <cellStyle name="汇总 2 6 5" xfId="2953"/>
    <cellStyle name="汇总 2 6 5 2" xfId="5465"/>
    <cellStyle name="汇总 2 6 6" xfId="6963"/>
    <cellStyle name="汇总 2 7" xfId="2954"/>
    <cellStyle name="汇总 2 7 2" xfId="2955"/>
    <cellStyle name="汇总 2 7 2 2" xfId="2956"/>
    <cellStyle name="汇总 2 7 2 2 2" xfId="6974"/>
    <cellStyle name="汇总 2 7 2 2 3" xfId="6973"/>
    <cellStyle name="汇总 2 7 2 3" xfId="2957"/>
    <cellStyle name="汇总 2 7 2 3 2" xfId="6975"/>
    <cellStyle name="汇总 2 7 2 4" xfId="2958"/>
    <cellStyle name="汇总 2 7 2 4 2" xfId="6976"/>
    <cellStyle name="汇总 2 7 2 5" xfId="2959"/>
    <cellStyle name="汇总 2 7 2 5 2" xfId="9140"/>
    <cellStyle name="汇总 2 7 2 6" xfId="6972"/>
    <cellStyle name="汇总 2 7 3" xfId="2960"/>
    <cellStyle name="汇总 2 7 3 2" xfId="6978"/>
    <cellStyle name="汇总 2 7 3 3" xfId="6977"/>
    <cellStyle name="汇总 2 7 4" xfId="2961"/>
    <cellStyle name="汇总 2 7 4 2" xfId="8216"/>
    <cellStyle name="汇总 2 7 5" xfId="2962"/>
    <cellStyle name="汇总 2 7 5 2" xfId="5466"/>
    <cellStyle name="汇总 2 7 6" xfId="6971"/>
    <cellStyle name="汇总 2 8" xfId="2963"/>
    <cellStyle name="汇总 2 8 2" xfId="2964"/>
    <cellStyle name="汇总 2 8 2 2" xfId="2965"/>
    <cellStyle name="汇总 2 8 2 2 2" xfId="6982"/>
    <cellStyle name="汇总 2 8 2 2 3" xfId="6981"/>
    <cellStyle name="汇总 2 8 2 3" xfId="2966"/>
    <cellStyle name="汇总 2 8 2 3 2" xfId="6983"/>
    <cellStyle name="汇总 2 8 2 4" xfId="2967"/>
    <cellStyle name="汇总 2 8 2 4 2" xfId="6984"/>
    <cellStyle name="汇总 2 8 2 5" xfId="2968"/>
    <cellStyle name="汇总 2 8 2 5 2" xfId="9141"/>
    <cellStyle name="汇总 2 8 2 6" xfId="6980"/>
    <cellStyle name="汇总 2 8 3" xfId="2969"/>
    <cellStyle name="汇总 2 8 3 2" xfId="6986"/>
    <cellStyle name="汇总 2 8 3 3" xfId="6985"/>
    <cellStyle name="汇总 2 8 4" xfId="2970"/>
    <cellStyle name="汇总 2 8 4 2" xfId="8215"/>
    <cellStyle name="汇总 2 8 5" xfId="2971"/>
    <cellStyle name="汇总 2 8 5 2" xfId="5467"/>
    <cellStyle name="汇总 2 8 6" xfId="6979"/>
    <cellStyle name="汇总 2 9" xfId="2972"/>
    <cellStyle name="汇总 2 9 2" xfId="2973"/>
    <cellStyle name="汇总 2 9 2 2" xfId="2974"/>
    <cellStyle name="汇总 2 9 2 2 2" xfId="6990"/>
    <cellStyle name="汇总 2 9 2 2 3" xfId="6989"/>
    <cellStyle name="汇总 2 9 2 3" xfId="2975"/>
    <cellStyle name="汇总 2 9 2 3 2" xfId="6991"/>
    <cellStyle name="汇总 2 9 2 4" xfId="2976"/>
    <cellStyle name="汇总 2 9 2 4 2" xfId="6992"/>
    <cellStyle name="汇总 2 9 2 5" xfId="2977"/>
    <cellStyle name="汇总 2 9 2 5 2" xfId="9139"/>
    <cellStyle name="汇总 2 9 2 6" xfId="6988"/>
    <cellStyle name="汇总 2 9 3" xfId="2978"/>
    <cellStyle name="汇总 2 9 3 2" xfId="6994"/>
    <cellStyle name="汇总 2 9 3 3" xfId="6993"/>
    <cellStyle name="汇总 2 9 4" xfId="2979"/>
    <cellStyle name="汇总 2 9 4 2" xfId="8214"/>
    <cellStyle name="汇总 2 9 5" xfId="2980"/>
    <cellStyle name="汇总 2 9 5 2" xfId="5468"/>
    <cellStyle name="汇总 2 9 6" xfId="6987"/>
    <cellStyle name="汇总 3" xfId="2981"/>
    <cellStyle name="汇总 3 2" xfId="2982"/>
    <cellStyle name="汇总 3 2 2" xfId="2983"/>
    <cellStyle name="汇总 3 2 2 2" xfId="5469"/>
    <cellStyle name="汇总 3 2 3" xfId="4603"/>
    <cellStyle name="汇总 3 3" xfId="2984"/>
    <cellStyle name="汇总 3 3 2" xfId="4604"/>
    <cellStyle name="汇总 3 4" xfId="2985"/>
    <cellStyle name="汇总 3 4 2" xfId="5470"/>
    <cellStyle name="汇总 3 5" xfId="4602"/>
    <cellStyle name="汇总 4" xfId="2986"/>
    <cellStyle name="汇总 4 2" xfId="4605"/>
    <cellStyle name="汇总 5" xfId="6909"/>
    <cellStyle name="计算 2" xfId="2987"/>
    <cellStyle name="计算 2 10" xfId="2988"/>
    <cellStyle name="计算 2 10 2" xfId="2989"/>
    <cellStyle name="计算 2 10 2 2" xfId="2990"/>
    <cellStyle name="计算 2 10 2 2 2" xfId="6999"/>
    <cellStyle name="计算 2 10 2 2 3" xfId="6998"/>
    <cellStyle name="计算 2 10 2 3" xfId="2991"/>
    <cellStyle name="计算 2 10 2 3 2" xfId="7000"/>
    <cellStyle name="计算 2 10 2 4" xfId="2992"/>
    <cellStyle name="计算 2 10 2 4 2" xfId="7001"/>
    <cellStyle name="计算 2 10 2 5" xfId="2993"/>
    <cellStyle name="计算 2 10 2 5 2" xfId="5471"/>
    <cellStyle name="计算 2 10 2 6" xfId="6997"/>
    <cellStyle name="计算 2 10 3" xfId="2994"/>
    <cellStyle name="计算 2 10 3 2" xfId="7003"/>
    <cellStyle name="计算 2 10 3 3" xfId="7002"/>
    <cellStyle name="计算 2 10 4" xfId="2995"/>
    <cellStyle name="计算 2 10 4 2" xfId="8213"/>
    <cellStyle name="计算 2 10 5" xfId="2996"/>
    <cellStyle name="计算 2 10 5 2" xfId="5472"/>
    <cellStyle name="计算 2 10 6" xfId="6996"/>
    <cellStyle name="计算 2 11" xfId="2997"/>
    <cellStyle name="计算 2 11 2" xfId="2998"/>
    <cellStyle name="计算 2 11 2 2" xfId="2999"/>
    <cellStyle name="计算 2 11 2 2 2" xfId="7007"/>
    <cellStyle name="计算 2 11 2 2 3" xfId="7006"/>
    <cellStyle name="计算 2 11 2 3" xfId="3000"/>
    <cellStyle name="计算 2 11 2 3 2" xfId="7008"/>
    <cellStyle name="计算 2 11 2 4" xfId="3001"/>
    <cellStyle name="计算 2 11 2 4 2" xfId="7009"/>
    <cellStyle name="计算 2 11 2 5" xfId="3002"/>
    <cellStyle name="计算 2 11 2 5 2" xfId="9138"/>
    <cellStyle name="计算 2 11 2 6" xfId="7005"/>
    <cellStyle name="计算 2 11 3" xfId="3003"/>
    <cellStyle name="计算 2 11 3 2" xfId="7011"/>
    <cellStyle name="计算 2 11 3 3" xfId="7010"/>
    <cellStyle name="计算 2 11 4" xfId="3004"/>
    <cellStyle name="计算 2 11 4 2" xfId="8212"/>
    <cellStyle name="计算 2 11 5" xfId="3005"/>
    <cellStyle name="计算 2 11 5 2" xfId="9136"/>
    <cellStyle name="计算 2 11 6" xfId="7004"/>
    <cellStyle name="计算 2 12" xfId="3006"/>
    <cellStyle name="计算 2 12 2" xfId="3007"/>
    <cellStyle name="计算 2 12 2 2" xfId="3008"/>
    <cellStyle name="计算 2 12 2 2 2" xfId="7015"/>
    <cellStyle name="计算 2 12 2 2 3" xfId="7014"/>
    <cellStyle name="计算 2 12 2 3" xfId="3009"/>
    <cellStyle name="计算 2 12 2 3 2" xfId="7016"/>
    <cellStyle name="计算 2 12 2 4" xfId="3010"/>
    <cellStyle name="计算 2 12 2 4 2" xfId="7017"/>
    <cellStyle name="计算 2 12 2 5" xfId="3011"/>
    <cellStyle name="计算 2 12 2 5 2" xfId="9137"/>
    <cellStyle name="计算 2 12 2 6" xfId="7013"/>
    <cellStyle name="计算 2 12 3" xfId="3012"/>
    <cellStyle name="计算 2 12 3 2" xfId="7019"/>
    <cellStyle name="计算 2 12 3 3" xfId="7018"/>
    <cellStyle name="计算 2 12 4" xfId="3013"/>
    <cellStyle name="计算 2 12 4 2" xfId="8211"/>
    <cellStyle name="计算 2 12 5" xfId="3014"/>
    <cellStyle name="计算 2 12 5 2" xfId="5473"/>
    <cellStyle name="计算 2 12 6" xfId="7012"/>
    <cellStyle name="计算 2 13" xfId="3015"/>
    <cellStyle name="计算 2 13 2" xfId="3016"/>
    <cellStyle name="计算 2 13 2 2" xfId="7022"/>
    <cellStyle name="计算 2 13 2 3" xfId="7021"/>
    <cellStyle name="计算 2 13 3" xfId="3017"/>
    <cellStyle name="计算 2 13 3 2" xfId="7023"/>
    <cellStyle name="计算 2 13 4" xfId="3018"/>
    <cellStyle name="计算 2 13 4 2" xfId="7024"/>
    <cellStyle name="计算 2 13 5" xfId="3019"/>
    <cellStyle name="计算 2 13 5 2" xfId="5474"/>
    <cellStyle name="计算 2 13 6" xfId="7020"/>
    <cellStyle name="计算 2 13 7" xfId="8210"/>
    <cellStyle name="计算 2 14" xfId="3020"/>
    <cellStyle name="计算 2 14 2" xfId="3021"/>
    <cellStyle name="计算 2 14 2 2" xfId="7026"/>
    <cellStyle name="计算 2 14 3" xfId="7025"/>
    <cellStyle name="计算 2 15" xfId="3022"/>
    <cellStyle name="计算 2 15 2" xfId="8209"/>
    <cellStyle name="计算 2 16" xfId="3023"/>
    <cellStyle name="计算 2 16 2" xfId="5475"/>
    <cellStyle name="计算 2 17" xfId="3024"/>
    <cellStyle name="计算 2 17 2" xfId="9867"/>
    <cellStyle name="计算 2 18" xfId="3025"/>
    <cellStyle name="计算 2 18 2" xfId="9135"/>
    <cellStyle name="计算 2 19" xfId="4606"/>
    <cellStyle name="计算 2 19 2" xfId="6995"/>
    <cellStyle name="计算 2 2" xfId="3026"/>
    <cellStyle name="计算 2 2 2" xfId="3027"/>
    <cellStyle name="计算 2 2 2 2" xfId="3028"/>
    <cellStyle name="计算 2 2 2 2 2" xfId="3029"/>
    <cellStyle name="计算 2 2 2 2 2 2" xfId="7030"/>
    <cellStyle name="计算 2 2 2 2 3" xfId="3030"/>
    <cellStyle name="计算 2 2 2 2 3 2" xfId="5476"/>
    <cellStyle name="计算 2 2 2 2 4" xfId="3031"/>
    <cellStyle name="计算 2 2 2 2 4 2" xfId="9869"/>
    <cellStyle name="计算 2 2 2 2 5" xfId="4609"/>
    <cellStyle name="计算 2 2 2 2 5 2" xfId="7029"/>
    <cellStyle name="计算 2 2 2 2 6" xfId="8207"/>
    <cellStyle name="计算 2 2 2 3" xfId="3032"/>
    <cellStyle name="计算 2 2 2 3 2" xfId="7031"/>
    <cellStyle name="计算 2 2 2 4" xfId="3033"/>
    <cellStyle name="计算 2 2 2 4 2" xfId="7032"/>
    <cellStyle name="计算 2 2 2 5" xfId="3034"/>
    <cellStyle name="计算 2 2 2 5 2" xfId="5477"/>
    <cellStyle name="计算 2 2 2 6" xfId="3035"/>
    <cellStyle name="计算 2 2 2 6 2" xfId="5478"/>
    <cellStyle name="计算 2 2 2 7" xfId="3036"/>
    <cellStyle name="计算 2 2 2 7 2" xfId="9134"/>
    <cellStyle name="计算 2 2 2 8" xfId="4608"/>
    <cellStyle name="计算 2 2 2 8 2" xfId="7028"/>
    <cellStyle name="计算 2 2 2 9" xfId="8208"/>
    <cellStyle name="计算 2 2 3" xfId="3037"/>
    <cellStyle name="计算 2 2 3 2" xfId="3038"/>
    <cellStyle name="计算 2 2 3 2 2" xfId="7034"/>
    <cellStyle name="计算 2 2 3 3" xfId="3039"/>
    <cellStyle name="计算 2 2 3 3 2" xfId="5479"/>
    <cellStyle name="计算 2 2 3 4" xfId="3040"/>
    <cellStyle name="计算 2 2 3 4 2" xfId="9868"/>
    <cellStyle name="计算 2 2 3 5" xfId="4610"/>
    <cellStyle name="计算 2 2 3 5 2" xfId="7033"/>
    <cellStyle name="计算 2 2 3 6" xfId="8206"/>
    <cellStyle name="计算 2 2 4" xfId="3041"/>
    <cellStyle name="计算 2 2 4 2" xfId="8205"/>
    <cellStyle name="计算 2 2 4 3" xfId="9132"/>
    <cellStyle name="计算 2 2 5" xfId="3042"/>
    <cellStyle name="计算 2 2 5 2" xfId="8204"/>
    <cellStyle name="计算 2 2 6" xfId="3043"/>
    <cellStyle name="计算 2 2 6 2" xfId="8203"/>
    <cellStyle name="计算 2 2 7" xfId="3044"/>
    <cellStyle name="计算 2 2 7 2" xfId="9133"/>
    <cellStyle name="计算 2 2 8" xfId="4607"/>
    <cellStyle name="计算 2 2 8 2" xfId="7027"/>
    <cellStyle name="计算 2 3" xfId="3045"/>
    <cellStyle name="计算 2 3 2" xfId="3046"/>
    <cellStyle name="计算 2 3 2 2" xfId="3047"/>
    <cellStyle name="计算 2 3 2 2 2" xfId="3048"/>
    <cellStyle name="计算 2 3 2 2 2 2" xfId="7038"/>
    <cellStyle name="计算 2 3 2 2 3" xfId="3049"/>
    <cellStyle name="计算 2 3 2 2 3 2" xfId="9128"/>
    <cellStyle name="计算 2 3 2 2 4" xfId="3050"/>
    <cellStyle name="计算 2 3 2 2 4 2" xfId="5480"/>
    <cellStyle name="计算 2 3 2 2 5" xfId="4613"/>
    <cellStyle name="计算 2 3 2 2 5 2" xfId="7037"/>
    <cellStyle name="计算 2 3 2 2 6" xfId="8201"/>
    <cellStyle name="计算 2 3 2 3" xfId="3051"/>
    <cellStyle name="计算 2 3 2 3 2" xfId="7039"/>
    <cellStyle name="计算 2 3 2 4" xfId="3052"/>
    <cellStyle name="计算 2 3 2 4 2" xfId="7040"/>
    <cellStyle name="计算 2 3 2 5" xfId="3053"/>
    <cellStyle name="计算 2 3 2 5 2" xfId="9870"/>
    <cellStyle name="计算 2 3 2 6" xfId="3054"/>
    <cellStyle name="计算 2 3 2 6 2" xfId="5481"/>
    <cellStyle name="计算 2 3 2 7" xfId="3055"/>
    <cellStyle name="计算 2 3 2 7 2" xfId="9871"/>
    <cellStyle name="计算 2 3 2 8" xfId="4612"/>
    <cellStyle name="计算 2 3 2 8 2" xfId="7036"/>
    <cellStyle name="计算 2 3 2 9" xfId="8202"/>
    <cellStyle name="计算 2 3 3" xfId="3056"/>
    <cellStyle name="计算 2 3 3 2" xfId="3057"/>
    <cellStyle name="计算 2 3 3 2 2" xfId="7042"/>
    <cellStyle name="计算 2 3 3 3" xfId="3058"/>
    <cellStyle name="计算 2 3 3 3 2" xfId="9131"/>
    <cellStyle name="计算 2 3 3 4" xfId="3059"/>
    <cellStyle name="计算 2 3 3 4 2" xfId="5482"/>
    <cellStyle name="计算 2 3 3 5" xfId="4614"/>
    <cellStyle name="计算 2 3 3 5 2" xfId="7041"/>
    <cellStyle name="计算 2 3 3 6" xfId="8200"/>
    <cellStyle name="计算 2 3 4" xfId="3060"/>
    <cellStyle name="计算 2 3 4 2" xfId="8199"/>
    <cellStyle name="计算 2 3 4 3" xfId="5483"/>
    <cellStyle name="计算 2 3 5" xfId="3061"/>
    <cellStyle name="计算 2 3 5 2" xfId="8198"/>
    <cellStyle name="计算 2 3 6" xfId="3062"/>
    <cellStyle name="计算 2 3 6 2" xfId="8197"/>
    <cellStyle name="计算 2 3 7" xfId="3063"/>
    <cellStyle name="计算 2 3 7 2" xfId="5484"/>
    <cellStyle name="计算 2 3 8" xfId="4611"/>
    <cellStyle name="计算 2 3 8 2" xfId="7035"/>
    <cellStyle name="计算 2 4" xfId="3064"/>
    <cellStyle name="计算 2 4 2" xfId="3065"/>
    <cellStyle name="计算 2 4 2 2" xfId="3066"/>
    <cellStyle name="计算 2 4 2 2 2" xfId="7046"/>
    <cellStyle name="计算 2 4 2 2 3" xfId="7045"/>
    <cellStyle name="计算 2 4 2 3" xfId="3067"/>
    <cellStyle name="计算 2 4 2 3 2" xfId="7047"/>
    <cellStyle name="计算 2 4 2 4" xfId="3068"/>
    <cellStyle name="计算 2 4 2 4 2" xfId="7048"/>
    <cellStyle name="计算 2 4 2 5" xfId="3069"/>
    <cellStyle name="计算 2 4 2 5 2" xfId="9130"/>
    <cellStyle name="计算 2 4 2 6" xfId="7044"/>
    <cellStyle name="计算 2 4 2 7" xfId="8196"/>
    <cellStyle name="计算 2 4 3" xfId="3070"/>
    <cellStyle name="计算 2 4 3 2" xfId="7050"/>
    <cellStyle name="计算 2 4 3 3" xfId="7049"/>
    <cellStyle name="计算 2 4 4" xfId="3071"/>
    <cellStyle name="计算 2 4 4 2" xfId="8195"/>
    <cellStyle name="计算 2 4 5" xfId="3072"/>
    <cellStyle name="计算 2 4 5 2" xfId="5485"/>
    <cellStyle name="计算 2 4 6" xfId="3073"/>
    <cellStyle name="计算 2 4 6 2" xfId="9872"/>
    <cellStyle name="计算 2 4 7" xfId="3074"/>
    <cellStyle name="计算 2 4 7 2" xfId="9129"/>
    <cellStyle name="计算 2 4 8" xfId="4615"/>
    <cellStyle name="计算 2 4 8 2" xfId="7043"/>
    <cellStyle name="计算 2 5" xfId="3075"/>
    <cellStyle name="计算 2 5 2" xfId="3076"/>
    <cellStyle name="计算 2 5 2 2" xfId="3077"/>
    <cellStyle name="计算 2 5 2 2 2" xfId="7054"/>
    <cellStyle name="计算 2 5 2 2 3" xfId="7053"/>
    <cellStyle name="计算 2 5 2 3" xfId="3078"/>
    <cellStyle name="计算 2 5 2 3 2" xfId="7055"/>
    <cellStyle name="计算 2 5 2 4" xfId="3079"/>
    <cellStyle name="计算 2 5 2 4 2" xfId="7056"/>
    <cellStyle name="计算 2 5 2 5" xfId="3080"/>
    <cellStyle name="计算 2 5 2 5 2" xfId="5486"/>
    <cellStyle name="计算 2 5 2 6" xfId="7052"/>
    <cellStyle name="计算 2 5 3" xfId="3081"/>
    <cellStyle name="计算 2 5 3 2" xfId="7058"/>
    <cellStyle name="计算 2 5 3 3" xfId="7057"/>
    <cellStyle name="计算 2 5 4" xfId="3082"/>
    <cellStyle name="计算 2 5 4 2" xfId="8194"/>
    <cellStyle name="计算 2 5 5" xfId="3083"/>
    <cellStyle name="计算 2 5 5 2" xfId="5487"/>
    <cellStyle name="计算 2 5 6" xfId="4616"/>
    <cellStyle name="计算 2 5 6 2" xfId="7051"/>
    <cellStyle name="计算 2 6" xfId="3084"/>
    <cellStyle name="计算 2 6 2" xfId="3085"/>
    <cellStyle name="计算 2 6 2 2" xfId="3086"/>
    <cellStyle name="计算 2 6 2 2 2" xfId="7062"/>
    <cellStyle name="计算 2 6 2 2 3" xfId="7061"/>
    <cellStyle name="计算 2 6 2 3" xfId="3087"/>
    <cellStyle name="计算 2 6 2 3 2" xfId="7063"/>
    <cellStyle name="计算 2 6 2 4" xfId="3088"/>
    <cellStyle name="计算 2 6 2 4 2" xfId="7064"/>
    <cellStyle name="计算 2 6 2 5" xfId="3089"/>
    <cellStyle name="计算 2 6 2 5 2" xfId="9127"/>
    <cellStyle name="计算 2 6 2 6" xfId="7060"/>
    <cellStyle name="计算 2 6 3" xfId="3090"/>
    <cellStyle name="计算 2 6 3 2" xfId="7066"/>
    <cellStyle name="计算 2 6 3 3" xfId="7065"/>
    <cellStyle name="计算 2 6 4" xfId="3091"/>
    <cellStyle name="计算 2 6 4 2" xfId="8193"/>
    <cellStyle name="计算 2 6 5" xfId="3092"/>
    <cellStyle name="计算 2 6 5 2" xfId="9877"/>
    <cellStyle name="计算 2 6 6" xfId="7059"/>
    <cellStyle name="计算 2 7" xfId="3093"/>
    <cellStyle name="计算 2 7 2" xfId="3094"/>
    <cellStyle name="计算 2 7 2 2" xfId="3095"/>
    <cellStyle name="计算 2 7 2 2 2" xfId="7070"/>
    <cellStyle name="计算 2 7 2 2 3" xfId="7069"/>
    <cellStyle name="计算 2 7 2 3" xfId="3096"/>
    <cellStyle name="计算 2 7 2 3 2" xfId="7071"/>
    <cellStyle name="计算 2 7 2 4" xfId="3097"/>
    <cellStyle name="计算 2 7 2 4 2" xfId="7072"/>
    <cellStyle name="计算 2 7 2 5" xfId="3098"/>
    <cellStyle name="计算 2 7 2 5 2" xfId="5488"/>
    <cellStyle name="计算 2 7 2 6" xfId="7068"/>
    <cellStyle name="计算 2 7 3" xfId="3099"/>
    <cellStyle name="计算 2 7 3 2" xfId="7074"/>
    <cellStyle name="计算 2 7 3 3" xfId="7073"/>
    <cellStyle name="计算 2 7 4" xfId="3100"/>
    <cellStyle name="计算 2 7 4 2" xfId="8192"/>
    <cellStyle name="计算 2 7 5" xfId="3101"/>
    <cellStyle name="计算 2 7 5 2" xfId="5489"/>
    <cellStyle name="计算 2 7 6" xfId="7067"/>
    <cellStyle name="计算 2 8" xfId="3102"/>
    <cellStyle name="计算 2 8 2" xfId="3103"/>
    <cellStyle name="计算 2 8 2 2" xfId="3104"/>
    <cellStyle name="计算 2 8 2 2 2" xfId="7078"/>
    <cellStyle name="计算 2 8 2 2 3" xfId="7077"/>
    <cellStyle name="计算 2 8 2 3" xfId="3105"/>
    <cellStyle name="计算 2 8 2 3 2" xfId="7079"/>
    <cellStyle name="计算 2 8 2 4" xfId="3106"/>
    <cellStyle name="计算 2 8 2 4 2" xfId="7080"/>
    <cellStyle name="计算 2 8 2 5" xfId="3107"/>
    <cellStyle name="计算 2 8 2 5 2" xfId="9126"/>
    <cellStyle name="计算 2 8 2 6" xfId="7076"/>
    <cellStyle name="计算 2 8 3" xfId="3108"/>
    <cellStyle name="计算 2 8 3 2" xfId="7082"/>
    <cellStyle name="计算 2 8 3 3" xfId="7081"/>
    <cellStyle name="计算 2 8 4" xfId="3109"/>
    <cellStyle name="计算 2 8 4 2" xfId="8191"/>
    <cellStyle name="计算 2 8 5" xfId="3110"/>
    <cellStyle name="计算 2 8 5 2" xfId="9124"/>
    <cellStyle name="计算 2 8 6" xfId="7075"/>
    <cellStyle name="计算 2 9" xfId="3111"/>
    <cellStyle name="计算 2 9 2" xfId="3112"/>
    <cellStyle name="计算 2 9 2 2" xfId="3113"/>
    <cellStyle name="计算 2 9 2 2 2" xfId="7086"/>
    <cellStyle name="计算 2 9 2 2 3" xfId="7085"/>
    <cellStyle name="计算 2 9 2 3" xfId="3114"/>
    <cellStyle name="计算 2 9 2 3 2" xfId="7087"/>
    <cellStyle name="计算 2 9 2 4" xfId="3115"/>
    <cellStyle name="计算 2 9 2 4 2" xfId="7088"/>
    <cellStyle name="计算 2 9 2 5" xfId="3116"/>
    <cellStyle name="计算 2 9 2 5 2" xfId="9125"/>
    <cellStyle name="计算 2 9 2 6" xfId="7084"/>
    <cellStyle name="计算 2 9 3" xfId="3117"/>
    <cellStyle name="计算 2 9 3 2" xfId="7090"/>
    <cellStyle name="计算 2 9 3 3" xfId="7089"/>
    <cellStyle name="计算 2 9 4" xfId="3118"/>
    <cellStyle name="计算 2 9 4 2" xfId="8190"/>
    <cellStyle name="计算 2 9 5" xfId="3119"/>
    <cellStyle name="计算 2 9 5 2" xfId="5490"/>
    <cellStyle name="计算 2 9 6" xfId="7083"/>
    <cellStyle name="计算 3" xfId="3120"/>
    <cellStyle name="计算 3 2" xfId="3121"/>
    <cellStyle name="计算 3 2 2" xfId="3122"/>
    <cellStyle name="计算 3 2 2 2" xfId="7093"/>
    <cellStyle name="计算 3 2 2 3" xfId="7092"/>
    <cellStyle name="计算 3 2 3" xfId="3123"/>
    <cellStyle name="计算 3 2 3 2" xfId="7094"/>
    <cellStyle name="计算 3 2 4" xfId="3124"/>
    <cellStyle name="计算 3 2 4 2" xfId="5491"/>
    <cellStyle name="计算 3 2 5" xfId="3125"/>
    <cellStyle name="计算 3 2 5 2" xfId="9122"/>
    <cellStyle name="计算 3 2 6" xfId="3126"/>
    <cellStyle name="计算 3 2 6 2" xfId="9123"/>
    <cellStyle name="计算 3 2 7" xfId="4618"/>
    <cellStyle name="计算 3 2 7 2" xfId="7091"/>
    <cellStyle name="计算 3 2 8" xfId="8189"/>
    <cellStyle name="计算 3 3" xfId="3127"/>
    <cellStyle name="计算 3 3 2" xfId="3128"/>
    <cellStyle name="计算 3 3 2 2" xfId="7096"/>
    <cellStyle name="计算 3 3 3" xfId="4619"/>
    <cellStyle name="计算 3 3 3 2" xfId="7095"/>
    <cellStyle name="计算 3 3 4" xfId="8188"/>
    <cellStyle name="计算 3 4" xfId="3129"/>
    <cellStyle name="计算 3 4 2" xfId="7098"/>
    <cellStyle name="计算 3 4 3" xfId="7097"/>
    <cellStyle name="计算 3 5" xfId="3130"/>
    <cellStyle name="计算 3 5 2" xfId="7099"/>
    <cellStyle name="计算 3 5 3" xfId="8187"/>
    <cellStyle name="计算 3 6" xfId="3131"/>
    <cellStyle name="计算 3 6 2" xfId="5492"/>
    <cellStyle name="计算 3 7" xfId="3132"/>
    <cellStyle name="计算 3 7 2" xfId="9121"/>
    <cellStyle name="计算 3 8" xfId="4617"/>
    <cellStyle name="计算 4" xfId="3133"/>
    <cellStyle name="计算 4 2" xfId="4620"/>
    <cellStyle name="计算 4 3" xfId="5493"/>
    <cellStyle name="检查单元格 2" xfId="3134"/>
    <cellStyle name="检查单元格 2 10" xfId="3135"/>
    <cellStyle name="检查单元格 2 10 2" xfId="3136"/>
    <cellStyle name="检查单元格 2 10 2 2" xfId="3137"/>
    <cellStyle name="检查单元格 2 10 2 2 2" xfId="7104"/>
    <cellStyle name="检查单元格 2 10 2 2 3" xfId="7103"/>
    <cellStyle name="检查单元格 2 10 2 3" xfId="3138"/>
    <cellStyle name="检查单元格 2 10 2 3 2" xfId="7105"/>
    <cellStyle name="检查单元格 2 10 2 4" xfId="3139"/>
    <cellStyle name="检查单元格 2 10 2 4 2" xfId="7106"/>
    <cellStyle name="检查单元格 2 10 2 5" xfId="3140"/>
    <cellStyle name="检查单元格 2 10 2 5 2" xfId="5494"/>
    <cellStyle name="检查单元格 2 10 2 6" xfId="7102"/>
    <cellStyle name="检查单元格 2 10 3" xfId="3141"/>
    <cellStyle name="检查单元格 2 10 3 2" xfId="7108"/>
    <cellStyle name="检查单元格 2 10 3 3" xfId="7107"/>
    <cellStyle name="检查单元格 2 10 4" xfId="3142"/>
    <cellStyle name="检查单元格 2 10 4 2" xfId="8186"/>
    <cellStyle name="检查单元格 2 10 5" xfId="3143"/>
    <cellStyle name="检查单元格 2 10 5 2" xfId="9120"/>
    <cellStyle name="检查单元格 2 10 6" xfId="7101"/>
    <cellStyle name="检查单元格 2 11" xfId="3144"/>
    <cellStyle name="检查单元格 2 11 2" xfId="3145"/>
    <cellStyle name="检查单元格 2 11 2 2" xfId="3146"/>
    <cellStyle name="检查单元格 2 11 2 2 2" xfId="7112"/>
    <cellStyle name="检查单元格 2 11 2 2 3" xfId="7111"/>
    <cellStyle name="检查单元格 2 11 2 3" xfId="3147"/>
    <cellStyle name="检查单元格 2 11 2 3 2" xfId="7113"/>
    <cellStyle name="检查单元格 2 11 2 4" xfId="3148"/>
    <cellStyle name="检查单元格 2 11 2 4 2" xfId="7114"/>
    <cellStyle name="检查单元格 2 11 2 5" xfId="3149"/>
    <cellStyle name="检查单元格 2 11 2 5 2" xfId="5495"/>
    <cellStyle name="检查单元格 2 11 2 6" xfId="7110"/>
    <cellStyle name="检查单元格 2 11 3" xfId="3150"/>
    <cellStyle name="检查单元格 2 11 3 2" xfId="7116"/>
    <cellStyle name="检查单元格 2 11 3 3" xfId="7115"/>
    <cellStyle name="检查单元格 2 11 4" xfId="3151"/>
    <cellStyle name="检查单元格 2 11 4 2" xfId="8185"/>
    <cellStyle name="检查单元格 2 11 5" xfId="3152"/>
    <cellStyle name="检查单元格 2 11 5 2" xfId="9119"/>
    <cellStyle name="检查单元格 2 11 6" xfId="7109"/>
    <cellStyle name="检查单元格 2 12" xfId="3153"/>
    <cellStyle name="检查单元格 2 12 2" xfId="3154"/>
    <cellStyle name="检查单元格 2 12 2 2" xfId="3155"/>
    <cellStyle name="检查单元格 2 12 2 2 2" xfId="7120"/>
    <cellStyle name="检查单元格 2 12 2 2 3" xfId="7119"/>
    <cellStyle name="检查单元格 2 12 2 3" xfId="3156"/>
    <cellStyle name="检查单元格 2 12 2 3 2" xfId="7121"/>
    <cellStyle name="检查单元格 2 12 2 4" xfId="3157"/>
    <cellStyle name="检查单元格 2 12 2 4 2" xfId="7122"/>
    <cellStyle name="检查单元格 2 12 2 5" xfId="3158"/>
    <cellStyle name="检查单元格 2 12 2 5 2" xfId="9883"/>
    <cellStyle name="检查单元格 2 12 2 6" xfId="7118"/>
    <cellStyle name="检查单元格 2 12 3" xfId="3159"/>
    <cellStyle name="检查单元格 2 12 3 2" xfId="7124"/>
    <cellStyle name="检查单元格 2 12 3 3" xfId="7123"/>
    <cellStyle name="检查单元格 2 12 4" xfId="3160"/>
    <cellStyle name="检查单元格 2 12 4 2" xfId="8184"/>
    <cellStyle name="检查单元格 2 12 5" xfId="3161"/>
    <cellStyle name="检查单元格 2 12 5 2" xfId="5496"/>
    <cellStyle name="检查单元格 2 12 6" xfId="7117"/>
    <cellStyle name="检查单元格 2 13" xfId="3162"/>
    <cellStyle name="检查单元格 2 13 2" xfId="3163"/>
    <cellStyle name="检查单元格 2 13 2 2" xfId="7127"/>
    <cellStyle name="检查单元格 2 13 2 3" xfId="7126"/>
    <cellStyle name="检查单元格 2 13 3" xfId="3164"/>
    <cellStyle name="检查单元格 2 13 3 2" xfId="7128"/>
    <cellStyle name="检查单元格 2 13 4" xfId="3165"/>
    <cellStyle name="检查单元格 2 13 4 2" xfId="7129"/>
    <cellStyle name="检查单元格 2 13 5" xfId="3166"/>
    <cellStyle name="检查单元格 2 13 5 2" xfId="5497"/>
    <cellStyle name="检查单元格 2 13 6" xfId="7125"/>
    <cellStyle name="检查单元格 2 13 7" xfId="8183"/>
    <cellStyle name="检查单元格 2 14" xfId="3167"/>
    <cellStyle name="检查单元格 2 14 2" xfId="3168"/>
    <cellStyle name="检查单元格 2 14 2 2" xfId="7131"/>
    <cellStyle name="检查单元格 2 14 3" xfId="7130"/>
    <cellStyle name="检查单元格 2 15" xfId="3169"/>
    <cellStyle name="检查单元格 2 15 2" xfId="8182"/>
    <cellStyle name="检查单元格 2 16" xfId="3170"/>
    <cellStyle name="检查单元格 2 16 2" xfId="9118"/>
    <cellStyle name="检查单元格 2 17" xfId="3171"/>
    <cellStyle name="检查单元格 2 17 2" xfId="5498"/>
    <cellStyle name="检查单元格 2 18" xfId="3172"/>
    <cellStyle name="检查单元格 2 18 2" xfId="5499"/>
    <cellStyle name="检查单元格 2 19" xfId="4621"/>
    <cellStyle name="检查单元格 2 19 2" xfId="7100"/>
    <cellStyle name="检查单元格 2 2" xfId="3173"/>
    <cellStyle name="检查单元格 2 2 2" xfId="3174"/>
    <cellStyle name="检查单元格 2 2 2 2" xfId="3175"/>
    <cellStyle name="检查单元格 2 2 2 2 2" xfId="3176"/>
    <cellStyle name="检查单元格 2 2 2 2 2 2" xfId="7135"/>
    <cellStyle name="检查单元格 2 2 2 2 3" xfId="3177"/>
    <cellStyle name="检查单元格 2 2 2 2 3 2" xfId="5500"/>
    <cellStyle name="检查单元格 2 2 2 2 4" xfId="3178"/>
    <cellStyle name="检查单元格 2 2 2 2 4 2" xfId="9890"/>
    <cellStyle name="检查单元格 2 2 2 2 5" xfId="4624"/>
    <cellStyle name="检查单元格 2 2 2 2 5 2" xfId="7134"/>
    <cellStyle name="检查单元格 2 2 2 2 6" xfId="8180"/>
    <cellStyle name="检查单元格 2 2 2 3" xfId="3179"/>
    <cellStyle name="检查单元格 2 2 2 3 2" xfId="7136"/>
    <cellStyle name="检查单元格 2 2 2 4" xfId="3180"/>
    <cellStyle name="检查单元格 2 2 2 4 2" xfId="7137"/>
    <cellStyle name="检查单元格 2 2 2 5" xfId="3181"/>
    <cellStyle name="检查单元格 2 2 2 5 2" xfId="5501"/>
    <cellStyle name="检查单元格 2 2 2 6" xfId="3182"/>
    <cellStyle name="检查单元格 2 2 2 6 2" xfId="5502"/>
    <cellStyle name="检查单元格 2 2 2 7" xfId="3183"/>
    <cellStyle name="检查单元格 2 2 2 7 2" xfId="5503"/>
    <cellStyle name="检查单元格 2 2 2 8" xfId="4623"/>
    <cellStyle name="检查单元格 2 2 2 8 2" xfId="7133"/>
    <cellStyle name="检查单元格 2 2 2 9" xfId="8181"/>
    <cellStyle name="检查单元格 2 2 3" xfId="3184"/>
    <cellStyle name="检查单元格 2 2 3 2" xfId="3185"/>
    <cellStyle name="检查单元格 2 2 3 2 2" xfId="7139"/>
    <cellStyle name="检查单元格 2 2 3 3" xfId="3186"/>
    <cellStyle name="检查单元格 2 2 3 3 2" xfId="5504"/>
    <cellStyle name="检查单元格 2 2 3 4" xfId="3187"/>
    <cellStyle name="检查单元格 2 2 3 4 2" xfId="5505"/>
    <cellStyle name="检查单元格 2 2 3 5" xfId="4625"/>
    <cellStyle name="检查单元格 2 2 3 5 2" xfId="7138"/>
    <cellStyle name="检查单元格 2 2 3 6" xfId="8179"/>
    <cellStyle name="检查单元格 2 2 4" xfId="3188"/>
    <cellStyle name="检查单元格 2 2 4 2" xfId="8178"/>
    <cellStyle name="检查单元格 2 2 4 3" xfId="9892"/>
    <cellStyle name="检查单元格 2 2 5" xfId="3189"/>
    <cellStyle name="检查单元格 2 2 5 2" xfId="8177"/>
    <cellStyle name="检查单元格 2 2 6" xfId="3190"/>
    <cellStyle name="检查单元格 2 2 6 2" xfId="8176"/>
    <cellStyle name="检查单元格 2 2 7" xfId="3191"/>
    <cellStyle name="检查单元格 2 2 7 2" xfId="5506"/>
    <cellStyle name="检查单元格 2 2 8" xfId="4622"/>
    <cellStyle name="检查单元格 2 2 8 2" xfId="7132"/>
    <cellStyle name="检查单元格 2 3" xfId="3192"/>
    <cellStyle name="检查单元格 2 3 2" xfId="3193"/>
    <cellStyle name="检查单元格 2 3 2 2" xfId="3194"/>
    <cellStyle name="检查单元格 2 3 2 2 2" xfId="3195"/>
    <cellStyle name="检查单元格 2 3 2 2 2 2" xfId="7143"/>
    <cellStyle name="检查单元格 2 3 2 2 3" xfId="3196"/>
    <cellStyle name="检查单元格 2 3 2 2 3 2" xfId="9116"/>
    <cellStyle name="检查单元格 2 3 2 2 4" xfId="3197"/>
    <cellStyle name="检查单元格 2 3 2 2 4 2" xfId="5507"/>
    <cellStyle name="检查单元格 2 3 2 2 5" xfId="4628"/>
    <cellStyle name="检查单元格 2 3 2 2 5 2" xfId="7142"/>
    <cellStyle name="检查单元格 2 3 2 2 6" xfId="8174"/>
    <cellStyle name="检查单元格 2 3 2 3" xfId="3198"/>
    <cellStyle name="检查单元格 2 3 2 3 2" xfId="7144"/>
    <cellStyle name="检查单元格 2 3 2 4" xfId="3199"/>
    <cellStyle name="检查单元格 2 3 2 4 2" xfId="7145"/>
    <cellStyle name="检查单元格 2 3 2 5" xfId="3200"/>
    <cellStyle name="检查单元格 2 3 2 5 2" xfId="9893"/>
    <cellStyle name="检查单元格 2 3 2 6" xfId="3201"/>
    <cellStyle name="检查单元格 2 3 2 6 2" xfId="5508"/>
    <cellStyle name="检查单元格 2 3 2 7" xfId="3202"/>
    <cellStyle name="检查单元格 2 3 2 7 2" xfId="9117"/>
    <cellStyle name="检查单元格 2 3 2 8" xfId="4627"/>
    <cellStyle name="检查单元格 2 3 2 8 2" xfId="7141"/>
    <cellStyle name="检查单元格 2 3 2 9" xfId="8175"/>
    <cellStyle name="检查单元格 2 3 3" xfId="3203"/>
    <cellStyle name="检查单元格 2 3 3 2" xfId="3204"/>
    <cellStyle name="检查单元格 2 3 3 2 2" xfId="7147"/>
    <cellStyle name="检查单元格 2 3 3 3" xfId="3205"/>
    <cellStyle name="检查单元格 2 3 3 3 2" xfId="5509"/>
    <cellStyle name="检查单元格 2 3 3 4" xfId="3206"/>
    <cellStyle name="检查单元格 2 3 3 4 2" xfId="9115"/>
    <cellStyle name="检查单元格 2 3 3 5" xfId="4629"/>
    <cellStyle name="检查单元格 2 3 3 5 2" xfId="7146"/>
    <cellStyle name="检查单元格 2 3 3 6" xfId="8173"/>
    <cellStyle name="检查单元格 2 3 4" xfId="3207"/>
    <cellStyle name="检查单元格 2 3 4 2" xfId="8172"/>
    <cellStyle name="检查单元格 2 3 4 3" xfId="8505"/>
    <cellStyle name="检查单元格 2 3 5" xfId="3208"/>
    <cellStyle name="检查单元格 2 3 5 2" xfId="8171"/>
    <cellStyle name="检查单元格 2 3 6" xfId="3209"/>
    <cellStyle name="检查单元格 2 3 6 2" xfId="8170"/>
    <cellStyle name="检查单元格 2 3 7" xfId="3210"/>
    <cellStyle name="检查单元格 2 3 7 2" xfId="8504"/>
    <cellStyle name="检查单元格 2 3 8" xfId="4626"/>
    <cellStyle name="检查单元格 2 3 8 2" xfId="7140"/>
    <cellStyle name="检查单元格 2 4" xfId="3211"/>
    <cellStyle name="检查单元格 2 4 2" xfId="3212"/>
    <cellStyle name="检查单元格 2 4 2 2" xfId="3213"/>
    <cellStyle name="检查单元格 2 4 2 2 2" xfId="7151"/>
    <cellStyle name="检查单元格 2 4 2 2 3" xfId="7150"/>
    <cellStyle name="检查单元格 2 4 2 3" xfId="3214"/>
    <cellStyle name="检查单元格 2 4 2 3 2" xfId="7152"/>
    <cellStyle name="检查单元格 2 4 2 4" xfId="3215"/>
    <cellStyle name="检查单元格 2 4 2 4 2" xfId="7153"/>
    <cellStyle name="检查单元格 2 4 2 5" xfId="3216"/>
    <cellStyle name="检查单元格 2 4 2 5 2" xfId="9114"/>
    <cellStyle name="检查单元格 2 4 2 6" xfId="7149"/>
    <cellStyle name="检查单元格 2 4 2 7" xfId="8169"/>
    <cellStyle name="检查单元格 2 4 3" xfId="3217"/>
    <cellStyle name="检查单元格 2 4 3 2" xfId="7155"/>
    <cellStyle name="检查单元格 2 4 3 3" xfId="7154"/>
    <cellStyle name="检查单元格 2 4 4" xfId="3218"/>
    <cellStyle name="检查单元格 2 4 4 2" xfId="8168"/>
    <cellStyle name="检查单元格 2 4 5" xfId="3219"/>
    <cellStyle name="检查单元格 2 4 5 2" xfId="5510"/>
    <cellStyle name="检查单元格 2 4 6" xfId="3220"/>
    <cellStyle name="检查单元格 2 4 6 2" xfId="9895"/>
    <cellStyle name="检查单元格 2 4 7" xfId="3221"/>
    <cellStyle name="检查单元格 2 4 7 2" xfId="9112"/>
    <cellStyle name="检查单元格 2 4 8" xfId="4630"/>
    <cellStyle name="检查单元格 2 4 8 2" xfId="7148"/>
    <cellStyle name="检查单元格 2 5" xfId="3222"/>
    <cellStyle name="检查单元格 2 5 2" xfId="3223"/>
    <cellStyle name="检查单元格 2 5 2 2" xfId="3224"/>
    <cellStyle name="检查单元格 2 5 2 2 2" xfId="7159"/>
    <cellStyle name="检查单元格 2 5 2 2 3" xfId="7158"/>
    <cellStyle name="检查单元格 2 5 2 3" xfId="3225"/>
    <cellStyle name="检查单元格 2 5 2 3 2" xfId="7160"/>
    <cellStyle name="检查单元格 2 5 2 4" xfId="3226"/>
    <cellStyle name="检查单元格 2 5 2 4 2" xfId="7161"/>
    <cellStyle name="检查单元格 2 5 2 5" xfId="3227"/>
    <cellStyle name="检查单元格 2 5 2 5 2" xfId="9113"/>
    <cellStyle name="检查单元格 2 5 2 6" xfId="7157"/>
    <cellStyle name="检查单元格 2 5 3" xfId="3228"/>
    <cellStyle name="检查单元格 2 5 3 2" xfId="7163"/>
    <cellStyle name="检查单元格 2 5 3 3" xfId="7162"/>
    <cellStyle name="检查单元格 2 5 4" xfId="3229"/>
    <cellStyle name="检查单元格 2 5 4 2" xfId="8167"/>
    <cellStyle name="检查单元格 2 5 5" xfId="3230"/>
    <cellStyle name="检查单元格 2 5 5 2" xfId="9898"/>
    <cellStyle name="检查单元格 2 5 6" xfId="4631"/>
    <cellStyle name="检查单元格 2 5 6 2" xfId="7156"/>
    <cellStyle name="检查单元格 2 6" xfId="3231"/>
    <cellStyle name="检查单元格 2 6 2" xfId="3232"/>
    <cellStyle name="检查单元格 2 6 2 2" xfId="3233"/>
    <cellStyle name="检查单元格 2 6 2 2 2" xfId="7167"/>
    <cellStyle name="检查单元格 2 6 2 2 3" xfId="7166"/>
    <cellStyle name="检查单元格 2 6 2 3" xfId="3234"/>
    <cellStyle name="检查单元格 2 6 2 3 2" xfId="7168"/>
    <cellStyle name="检查单元格 2 6 2 4" xfId="3235"/>
    <cellStyle name="检查单元格 2 6 2 4 2" xfId="7169"/>
    <cellStyle name="检查单元格 2 6 2 5" xfId="3236"/>
    <cellStyle name="检查单元格 2 6 2 5 2" xfId="9897"/>
    <cellStyle name="检查单元格 2 6 2 6" xfId="7165"/>
    <cellStyle name="检查单元格 2 6 3" xfId="3237"/>
    <cellStyle name="检查单元格 2 6 3 2" xfId="7171"/>
    <cellStyle name="检查单元格 2 6 3 3" xfId="7170"/>
    <cellStyle name="检查单元格 2 6 4" xfId="3238"/>
    <cellStyle name="检查单元格 2 6 4 2" xfId="8166"/>
    <cellStyle name="检查单元格 2 6 5" xfId="3239"/>
    <cellStyle name="检查单元格 2 6 5 2" xfId="6490"/>
    <cellStyle name="检查单元格 2 6 6" xfId="7164"/>
    <cellStyle name="检查单元格 2 7" xfId="3240"/>
    <cellStyle name="检查单元格 2 7 2" xfId="3241"/>
    <cellStyle name="检查单元格 2 7 2 2" xfId="3242"/>
    <cellStyle name="检查单元格 2 7 2 2 2" xfId="7175"/>
    <cellStyle name="检查单元格 2 7 2 2 3" xfId="7174"/>
    <cellStyle name="检查单元格 2 7 2 3" xfId="3243"/>
    <cellStyle name="检查单元格 2 7 2 3 2" xfId="7176"/>
    <cellStyle name="检查单元格 2 7 2 4" xfId="3244"/>
    <cellStyle name="检查单元格 2 7 2 4 2" xfId="7177"/>
    <cellStyle name="检查单元格 2 7 2 5" xfId="3245"/>
    <cellStyle name="检查单元格 2 7 2 5 2" xfId="5511"/>
    <cellStyle name="检查单元格 2 7 2 6" xfId="7173"/>
    <cellStyle name="检查单元格 2 7 3" xfId="3246"/>
    <cellStyle name="检查单元格 2 7 3 2" xfId="7179"/>
    <cellStyle name="检查单元格 2 7 3 3" xfId="7178"/>
    <cellStyle name="检查单元格 2 7 4" xfId="3247"/>
    <cellStyle name="检查单元格 2 7 4 2" xfId="8165"/>
    <cellStyle name="检查单元格 2 7 5" xfId="3248"/>
    <cellStyle name="检查单元格 2 7 5 2" xfId="9111"/>
    <cellStyle name="检查单元格 2 7 6" xfId="7172"/>
    <cellStyle name="检查单元格 2 8" xfId="3249"/>
    <cellStyle name="检查单元格 2 8 2" xfId="3250"/>
    <cellStyle name="检查单元格 2 8 2 2" xfId="3251"/>
    <cellStyle name="检查单元格 2 8 2 2 2" xfId="7183"/>
    <cellStyle name="检查单元格 2 8 2 2 3" xfId="7182"/>
    <cellStyle name="检查单元格 2 8 2 3" xfId="3252"/>
    <cellStyle name="检查单元格 2 8 2 3 2" xfId="7184"/>
    <cellStyle name="检查单元格 2 8 2 4" xfId="3253"/>
    <cellStyle name="检查单元格 2 8 2 4 2" xfId="7185"/>
    <cellStyle name="检查单元格 2 8 2 5" xfId="3254"/>
    <cellStyle name="检查单元格 2 8 2 5 2" xfId="5512"/>
    <cellStyle name="检查单元格 2 8 2 6" xfId="7181"/>
    <cellStyle name="检查单元格 2 8 3" xfId="3255"/>
    <cellStyle name="检查单元格 2 8 3 2" xfId="7187"/>
    <cellStyle name="检查单元格 2 8 3 3" xfId="7186"/>
    <cellStyle name="检查单元格 2 8 4" xfId="3256"/>
    <cellStyle name="检查单元格 2 8 4 2" xfId="8164"/>
    <cellStyle name="检查单元格 2 8 5" xfId="3257"/>
    <cellStyle name="检查单元格 2 8 5 2" xfId="9899"/>
    <cellStyle name="检查单元格 2 8 6" xfId="7180"/>
    <cellStyle name="检查单元格 2 9" xfId="3258"/>
    <cellStyle name="检查单元格 2 9 2" xfId="3259"/>
    <cellStyle name="检查单元格 2 9 2 2" xfId="3260"/>
    <cellStyle name="检查单元格 2 9 2 2 2" xfId="7191"/>
    <cellStyle name="检查单元格 2 9 2 2 3" xfId="7190"/>
    <cellStyle name="检查单元格 2 9 2 3" xfId="3261"/>
    <cellStyle name="检查单元格 2 9 2 3 2" xfId="7192"/>
    <cellStyle name="检查单元格 2 9 2 4" xfId="3262"/>
    <cellStyle name="检查单元格 2 9 2 4 2" xfId="7193"/>
    <cellStyle name="检查单元格 2 9 2 5" xfId="3263"/>
    <cellStyle name="检查单元格 2 9 2 5 2" xfId="8502"/>
    <cellStyle name="检查单元格 2 9 2 6" xfId="7189"/>
    <cellStyle name="检查单元格 2 9 3" xfId="3264"/>
    <cellStyle name="检查单元格 2 9 3 2" xfId="7195"/>
    <cellStyle name="检查单元格 2 9 3 3" xfId="7194"/>
    <cellStyle name="检查单元格 2 9 4" xfId="3265"/>
    <cellStyle name="检查单元格 2 9 4 2" xfId="8163"/>
    <cellStyle name="检查单元格 2 9 5" xfId="3266"/>
    <cellStyle name="检查单元格 2 9 5 2" xfId="5513"/>
    <cellStyle name="检查单元格 2 9 6" xfId="7188"/>
    <cellStyle name="检查单元格 3" xfId="3267"/>
    <cellStyle name="检查单元格 3 2" xfId="3268"/>
    <cellStyle name="检查单元格 3 2 2" xfId="3269"/>
    <cellStyle name="检查单元格 3 2 2 2" xfId="7198"/>
    <cellStyle name="检查单元格 3 2 2 3" xfId="7197"/>
    <cellStyle name="检查单元格 3 2 3" xfId="3270"/>
    <cellStyle name="检查单元格 3 2 3 2" xfId="7199"/>
    <cellStyle name="检查单元格 3 2 4" xfId="3271"/>
    <cellStyle name="检查单元格 3 2 4 2" xfId="9110"/>
    <cellStyle name="检查单元格 3 2 5" xfId="3272"/>
    <cellStyle name="检查单元格 3 2 5 2" xfId="5514"/>
    <cellStyle name="检查单元格 3 2 6" xfId="3273"/>
    <cellStyle name="检查单元格 3 2 6 2" xfId="6493"/>
    <cellStyle name="检查单元格 3 2 7" xfId="4633"/>
    <cellStyle name="检查单元格 3 2 7 2" xfId="7196"/>
    <cellStyle name="检查单元格 3 2 8" xfId="8162"/>
    <cellStyle name="检查单元格 3 3" xfId="3274"/>
    <cellStyle name="检查单元格 3 3 2" xfId="3275"/>
    <cellStyle name="检查单元格 3 3 2 2" xfId="7201"/>
    <cellStyle name="检查单元格 3 3 3" xfId="4634"/>
    <cellStyle name="检查单元格 3 3 3 2" xfId="7200"/>
    <cellStyle name="检查单元格 3 3 4" xfId="8161"/>
    <cellStyle name="检查单元格 3 4" xfId="3276"/>
    <cellStyle name="检查单元格 3 4 2" xfId="7203"/>
    <cellStyle name="检查单元格 3 4 3" xfId="7202"/>
    <cellStyle name="检查单元格 3 5" xfId="3277"/>
    <cellStyle name="检查单元格 3 5 2" xfId="7204"/>
    <cellStyle name="检查单元格 3 5 3" xfId="8160"/>
    <cellStyle name="检查单元格 3 6" xfId="3278"/>
    <cellStyle name="检查单元格 3 6 2" xfId="9901"/>
    <cellStyle name="检查单元格 3 7" xfId="3279"/>
    <cellStyle name="检查单元格 3 7 2" xfId="5515"/>
    <cellStyle name="检查单元格 3 8" xfId="4632"/>
    <cellStyle name="检查单元格 4" xfId="3280"/>
    <cellStyle name="检查单元格 4 2" xfId="4635"/>
    <cellStyle name="检查单元格 4 3" xfId="9902"/>
    <cellStyle name="解释性文本 2" xfId="3281"/>
    <cellStyle name="解释性文本 2 10" xfId="3282"/>
    <cellStyle name="解释性文本 2 10 2" xfId="3283"/>
    <cellStyle name="解释性文本 2 10 2 2" xfId="3284"/>
    <cellStyle name="解释性文本 2 10 2 2 2" xfId="7209"/>
    <cellStyle name="解释性文本 2 10 2 2 3" xfId="7208"/>
    <cellStyle name="解释性文本 2 10 2 3" xfId="3285"/>
    <cellStyle name="解释性文本 2 10 2 3 2" xfId="7210"/>
    <cellStyle name="解释性文本 2 10 2 4" xfId="3286"/>
    <cellStyle name="解释性文本 2 10 2 4 2" xfId="7211"/>
    <cellStyle name="解释性文本 2 10 2 5" xfId="3287"/>
    <cellStyle name="解释性文本 2 10 2 5 2" xfId="5516"/>
    <cellStyle name="解释性文本 2 10 2 6" xfId="7207"/>
    <cellStyle name="解释性文本 2 10 3" xfId="3288"/>
    <cellStyle name="解释性文本 2 10 3 2" xfId="7213"/>
    <cellStyle name="解释性文本 2 10 3 3" xfId="7212"/>
    <cellStyle name="解释性文本 2 10 4" xfId="3289"/>
    <cellStyle name="解释性文本 2 10 4 2" xfId="8159"/>
    <cellStyle name="解释性文本 2 10 5" xfId="3290"/>
    <cellStyle name="解释性文本 2 10 5 2" xfId="5517"/>
    <cellStyle name="解释性文本 2 10 6" xfId="7206"/>
    <cellStyle name="解释性文本 2 11" xfId="3291"/>
    <cellStyle name="解释性文本 2 11 2" xfId="3292"/>
    <cellStyle name="解释性文本 2 11 2 2" xfId="3293"/>
    <cellStyle name="解释性文本 2 11 2 2 2" xfId="7217"/>
    <cellStyle name="解释性文本 2 11 2 2 3" xfId="7216"/>
    <cellStyle name="解释性文本 2 11 2 3" xfId="3294"/>
    <cellStyle name="解释性文本 2 11 2 3 2" xfId="7218"/>
    <cellStyle name="解释性文本 2 11 2 4" xfId="3295"/>
    <cellStyle name="解释性文本 2 11 2 4 2" xfId="7219"/>
    <cellStyle name="解释性文本 2 11 2 5" xfId="3296"/>
    <cellStyle name="解释性文本 2 11 2 5 2" xfId="5518"/>
    <cellStyle name="解释性文本 2 11 2 6" xfId="7215"/>
    <cellStyle name="解释性文本 2 11 3" xfId="3297"/>
    <cellStyle name="解释性文本 2 11 3 2" xfId="7221"/>
    <cellStyle name="解释性文本 2 11 3 3" xfId="7220"/>
    <cellStyle name="解释性文本 2 11 4" xfId="3298"/>
    <cellStyle name="解释性文本 2 11 4 2" xfId="8158"/>
    <cellStyle name="解释性文本 2 11 5" xfId="3299"/>
    <cellStyle name="解释性文本 2 11 5 2" xfId="9904"/>
    <cellStyle name="解释性文本 2 11 6" xfId="7214"/>
    <cellStyle name="解释性文本 2 12" xfId="3300"/>
    <cellStyle name="解释性文本 2 12 2" xfId="3301"/>
    <cellStyle name="解释性文本 2 12 2 2" xfId="3302"/>
    <cellStyle name="解释性文本 2 12 2 2 2" xfId="7225"/>
    <cellStyle name="解释性文本 2 12 2 2 3" xfId="7224"/>
    <cellStyle name="解释性文本 2 12 2 3" xfId="3303"/>
    <cellStyle name="解释性文本 2 12 2 3 2" xfId="7226"/>
    <cellStyle name="解释性文本 2 12 2 4" xfId="3304"/>
    <cellStyle name="解释性文本 2 12 2 4 2" xfId="7227"/>
    <cellStyle name="解释性文本 2 12 2 5" xfId="3305"/>
    <cellStyle name="解释性文本 2 12 2 5 2" xfId="9109"/>
    <cellStyle name="解释性文本 2 12 2 6" xfId="7223"/>
    <cellStyle name="解释性文本 2 12 3" xfId="3306"/>
    <cellStyle name="解释性文本 2 12 3 2" xfId="7229"/>
    <cellStyle name="解释性文本 2 12 3 3" xfId="7228"/>
    <cellStyle name="解释性文本 2 12 4" xfId="3307"/>
    <cellStyle name="解释性文本 2 12 4 2" xfId="8157"/>
    <cellStyle name="解释性文本 2 12 5" xfId="3308"/>
    <cellStyle name="解释性文本 2 12 5 2" xfId="5519"/>
    <cellStyle name="解释性文本 2 12 6" xfId="7222"/>
    <cellStyle name="解释性文本 2 13" xfId="3309"/>
    <cellStyle name="解释性文本 2 13 2" xfId="3310"/>
    <cellStyle name="解释性文本 2 13 2 2" xfId="7232"/>
    <cellStyle name="解释性文本 2 13 2 3" xfId="7231"/>
    <cellStyle name="解释性文本 2 13 3" xfId="3311"/>
    <cellStyle name="解释性文本 2 13 3 2" xfId="7233"/>
    <cellStyle name="解释性文本 2 13 4" xfId="3312"/>
    <cellStyle name="解释性文本 2 13 4 2" xfId="7234"/>
    <cellStyle name="解释性文本 2 13 5" xfId="3313"/>
    <cellStyle name="解释性文本 2 13 5 2" xfId="5520"/>
    <cellStyle name="解释性文本 2 13 6" xfId="7230"/>
    <cellStyle name="解释性文本 2 14" xfId="3314"/>
    <cellStyle name="解释性文本 2 14 2" xfId="3315"/>
    <cellStyle name="解释性文本 2 14 2 2" xfId="7236"/>
    <cellStyle name="解释性文本 2 14 3" xfId="7235"/>
    <cellStyle name="解释性文本 2 15" xfId="3316"/>
    <cellStyle name="解释性文本 2 15 2" xfId="8156"/>
    <cellStyle name="解释性文本 2 16" xfId="3317"/>
    <cellStyle name="解释性文本 2 16 2" xfId="8499"/>
    <cellStyle name="解释性文本 2 17" xfId="4636"/>
    <cellStyle name="解释性文本 2 2" xfId="3318"/>
    <cellStyle name="解释性文本 2 2 2" xfId="3319"/>
    <cellStyle name="解释性文本 2 2 2 2" xfId="3320"/>
    <cellStyle name="解释性文本 2 2 2 2 2" xfId="3321"/>
    <cellStyle name="解释性文本 2 2 2 2 2 2" xfId="7237"/>
    <cellStyle name="解释性文本 2 2 2 2 3" xfId="3322"/>
    <cellStyle name="解释性文本 2 2 2 2 3 2" xfId="8500"/>
    <cellStyle name="解释性文本 2 2 2 2 4" xfId="3323"/>
    <cellStyle name="解释性文本 2 2 2 2 4 2" xfId="9905"/>
    <cellStyle name="解释性文本 2 2 2 2 5" xfId="4639"/>
    <cellStyle name="解释性文本 2 2 2 3" xfId="3324"/>
    <cellStyle name="解释性文本 2 2 2 3 2" xfId="7238"/>
    <cellStyle name="解释性文本 2 2 2 4" xfId="3325"/>
    <cellStyle name="解释性文本 2 2 2 4 2" xfId="7239"/>
    <cellStyle name="解释性文本 2 2 2 5" xfId="3326"/>
    <cellStyle name="解释性文本 2 2 2 5 2" xfId="9907"/>
    <cellStyle name="解释性文本 2 2 2 6" xfId="4638"/>
    <cellStyle name="解释性文本 2 2 3" xfId="3327"/>
    <cellStyle name="解释性文本 2 2 3 2" xfId="3328"/>
    <cellStyle name="解释性文本 2 2 3 2 2" xfId="7240"/>
    <cellStyle name="解释性文本 2 2 3 3" xfId="3329"/>
    <cellStyle name="解释性文本 2 2 3 3 2" xfId="9906"/>
    <cellStyle name="解释性文本 2 2 3 4" xfId="3330"/>
    <cellStyle name="解释性文本 2 2 3 4 2" xfId="5521"/>
    <cellStyle name="解释性文本 2 2 3 5" xfId="4640"/>
    <cellStyle name="解释性文本 2 2 4" xfId="3331"/>
    <cellStyle name="解释性文本 2 2 4 2" xfId="8155"/>
    <cellStyle name="解释性文本 2 2 5" xfId="3332"/>
    <cellStyle name="解释性文本 2 2 5 2" xfId="8154"/>
    <cellStyle name="解释性文本 2 2 6" xfId="4637"/>
    <cellStyle name="解释性文本 2 3" xfId="3333"/>
    <cellStyle name="解释性文本 2 3 2" xfId="3334"/>
    <cellStyle name="解释性文本 2 3 2 2" xfId="3335"/>
    <cellStyle name="解释性文本 2 3 2 2 2" xfId="3336"/>
    <cellStyle name="解释性文本 2 3 2 2 2 2" xfId="7241"/>
    <cellStyle name="解释性文本 2 3 2 2 3" xfId="3337"/>
    <cellStyle name="解释性文本 2 3 2 2 3 2" xfId="9908"/>
    <cellStyle name="解释性文本 2 3 2 2 4" xfId="3338"/>
    <cellStyle name="解释性文本 2 3 2 2 4 2" xfId="8497"/>
    <cellStyle name="解释性文本 2 3 2 2 5" xfId="4643"/>
    <cellStyle name="解释性文本 2 3 2 3" xfId="3339"/>
    <cellStyle name="解释性文本 2 3 2 3 2" xfId="7242"/>
    <cellStyle name="解释性文本 2 3 2 4" xfId="3340"/>
    <cellStyle name="解释性文本 2 3 2 4 2" xfId="7243"/>
    <cellStyle name="解释性文本 2 3 2 5" xfId="3341"/>
    <cellStyle name="解释性文本 2 3 2 5 2" xfId="5522"/>
    <cellStyle name="解释性文本 2 3 2 6" xfId="4642"/>
    <cellStyle name="解释性文本 2 3 3" xfId="3342"/>
    <cellStyle name="解释性文本 2 3 3 2" xfId="3343"/>
    <cellStyle name="解释性文本 2 3 3 2 2" xfId="7244"/>
    <cellStyle name="解释性文本 2 3 3 3" xfId="3344"/>
    <cellStyle name="解释性文本 2 3 3 3 2" xfId="9910"/>
    <cellStyle name="解释性文本 2 3 3 4" xfId="3345"/>
    <cellStyle name="解释性文本 2 3 3 4 2" xfId="5523"/>
    <cellStyle name="解释性文本 2 3 3 5" xfId="4644"/>
    <cellStyle name="解释性文本 2 3 4" xfId="3346"/>
    <cellStyle name="解释性文本 2 3 4 2" xfId="8153"/>
    <cellStyle name="解释性文本 2 3 5" xfId="3347"/>
    <cellStyle name="解释性文本 2 3 5 2" xfId="8152"/>
    <cellStyle name="解释性文本 2 3 6" xfId="4641"/>
    <cellStyle name="解释性文本 2 4" xfId="3348"/>
    <cellStyle name="解释性文本 2 4 2" xfId="3349"/>
    <cellStyle name="解释性文本 2 4 2 2" xfId="3350"/>
    <cellStyle name="解释性文本 2 4 2 2 2" xfId="7247"/>
    <cellStyle name="解释性文本 2 4 2 2 3" xfId="7246"/>
    <cellStyle name="解释性文本 2 4 2 3" xfId="3351"/>
    <cellStyle name="解释性文本 2 4 2 3 2" xfId="7248"/>
    <cellStyle name="解释性文本 2 4 2 4" xfId="3352"/>
    <cellStyle name="解释性文本 2 4 2 4 2" xfId="7249"/>
    <cellStyle name="解释性文本 2 4 2 5" xfId="3353"/>
    <cellStyle name="解释性文本 2 4 2 5 2" xfId="5524"/>
    <cellStyle name="解释性文本 2 4 2 6" xfId="7245"/>
    <cellStyle name="解释性文本 2 4 3" xfId="3354"/>
    <cellStyle name="解释性文本 2 4 3 2" xfId="7251"/>
    <cellStyle name="解释性文本 2 4 3 3" xfId="7250"/>
    <cellStyle name="解释性文本 2 4 4" xfId="3355"/>
    <cellStyle name="解释性文本 2 4 4 2" xfId="8151"/>
    <cellStyle name="解释性文本 2 4 5" xfId="3356"/>
    <cellStyle name="解释性文本 2 4 5 2" xfId="9911"/>
    <cellStyle name="解释性文本 2 4 6" xfId="4645"/>
    <cellStyle name="解释性文本 2 5" xfId="3357"/>
    <cellStyle name="解释性文本 2 5 2" xfId="3358"/>
    <cellStyle name="解释性文本 2 5 2 2" xfId="3359"/>
    <cellStyle name="解释性文本 2 5 2 2 2" xfId="7254"/>
    <cellStyle name="解释性文本 2 5 2 2 3" xfId="7253"/>
    <cellStyle name="解释性文本 2 5 2 3" xfId="3360"/>
    <cellStyle name="解释性文本 2 5 2 3 2" xfId="7255"/>
    <cellStyle name="解释性文本 2 5 2 4" xfId="3361"/>
    <cellStyle name="解释性文本 2 5 2 4 2" xfId="7256"/>
    <cellStyle name="解释性文本 2 5 2 5" xfId="3362"/>
    <cellStyle name="解释性文本 2 5 2 5 2" xfId="9909"/>
    <cellStyle name="解释性文本 2 5 2 6" xfId="7252"/>
    <cellStyle name="解释性文本 2 5 3" xfId="3363"/>
    <cellStyle name="解释性文本 2 5 3 2" xfId="7258"/>
    <cellStyle name="解释性文本 2 5 3 3" xfId="7257"/>
    <cellStyle name="解释性文本 2 5 4" xfId="3364"/>
    <cellStyle name="解释性文本 2 5 4 2" xfId="8150"/>
    <cellStyle name="解释性文本 2 5 5" xfId="3365"/>
    <cellStyle name="解释性文本 2 5 5 2" xfId="9108"/>
    <cellStyle name="解释性文本 2 5 6" xfId="4646"/>
    <cellStyle name="解释性文本 2 6" xfId="3366"/>
    <cellStyle name="解释性文本 2 6 2" xfId="3367"/>
    <cellStyle name="解释性文本 2 6 2 2" xfId="3368"/>
    <cellStyle name="解释性文本 2 6 2 2 2" xfId="7262"/>
    <cellStyle name="解释性文本 2 6 2 2 3" xfId="7261"/>
    <cellStyle name="解释性文本 2 6 2 3" xfId="3369"/>
    <cellStyle name="解释性文本 2 6 2 3 2" xfId="7263"/>
    <cellStyle name="解释性文本 2 6 2 4" xfId="3370"/>
    <cellStyle name="解释性文本 2 6 2 4 2" xfId="7264"/>
    <cellStyle name="解释性文本 2 6 2 5" xfId="3371"/>
    <cellStyle name="解释性文本 2 6 2 5 2" xfId="8495"/>
    <cellStyle name="解释性文本 2 6 2 6" xfId="7260"/>
    <cellStyle name="解释性文本 2 6 3" xfId="3372"/>
    <cellStyle name="解释性文本 2 6 3 2" xfId="7266"/>
    <cellStyle name="解释性文本 2 6 3 3" xfId="7265"/>
    <cellStyle name="解释性文本 2 6 4" xfId="3373"/>
    <cellStyle name="解释性文本 2 6 4 2" xfId="8149"/>
    <cellStyle name="解释性文本 2 6 5" xfId="3374"/>
    <cellStyle name="解释性文本 2 6 5 2" xfId="8496"/>
    <cellStyle name="解释性文本 2 6 6" xfId="7259"/>
    <cellStyle name="解释性文本 2 7" xfId="3375"/>
    <cellStyle name="解释性文本 2 7 2" xfId="3376"/>
    <cellStyle name="解释性文本 2 7 2 2" xfId="3377"/>
    <cellStyle name="解释性文本 2 7 2 2 2" xfId="7270"/>
    <cellStyle name="解释性文本 2 7 2 2 3" xfId="7269"/>
    <cellStyle name="解释性文本 2 7 2 3" xfId="3378"/>
    <cellStyle name="解释性文本 2 7 2 3 2" xfId="7271"/>
    <cellStyle name="解释性文本 2 7 2 4" xfId="3379"/>
    <cellStyle name="解释性文本 2 7 2 4 2" xfId="7272"/>
    <cellStyle name="解释性文本 2 7 2 5" xfId="3380"/>
    <cellStyle name="解释性文本 2 7 2 5 2" xfId="8494"/>
    <cellStyle name="解释性文本 2 7 2 6" xfId="7268"/>
    <cellStyle name="解释性文本 2 7 3" xfId="3381"/>
    <cellStyle name="解释性文本 2 7 3 2" xfId="7274"/>
    <cellStyle name="解释性文本 2 7 3 3" xfId="7273"/>
    <cellStyle name="解释性文本 2 7 4" xfId="3382"/>
    <cellStyle name="解释性文本 2 7 4 2" xfId="8148"/>
    <cellStyle name="解释性文本 2 7 5" xfId="3383"/>
    <cellStyle name="解释性文本 2 7 5 2" xfId="5525"/>
    <cellStyle name="解释性文本 2 7 6" xfId="7267"/>
    <cellStyle name="解释性文本 2 8" xfId="3384"/>
    <cellStyle name="解释性文本 2 8 2" xfId="3385"/>
    <cellStyle name="解释性文本 2 8 2 2" xfId="3386"/>
    <cellStyle name="解释性文本 2 8 2 2 2" xfId="7278"/>
    <cellStyle name="解释性文本 2 8 2 2 3" xfId="7277"/>
    <cellStyle name="解释性文本 2 8 2 3" xfId="3387"/>
    <cellStyle name="解释性文本 2 8 2 3 2" xfId="7279"/>
    <cellStyle name="解释性文本 2 8 2 4" xfId="3388"/>
    <cellStyle name="解释性文本 2 8 2 4 2" xfId="7280"/>
    <cellStyle name="解释性文本 2 8 2 5" xfId="3389"/>
    <cellStyle name="解释性文本 2 8 2 5 2" xfId="5526"/>
    <cellStyle name="解释性文本 2 8 2 6" xfId="7276"/>
    <cellStyle name="解释性文本 2 8 3" xfId="3390"/>
    <cellStyle name="解释性文本 2 8 3 2" xfId="7282"/>
    <cellStyle name="解释性文本 2 8 3 3" xfId="7281"/>
    <cellStyle name="解释性文本 2 8 4" xfId="3391"/>
    <cellStyle name="解释性文本 2 8 4 2" xfId="8147"/>
    <cellStyle name="解释性文本 2 8 5" xfId="3392"/>
    <cellStyle name="解释性文本 2 8 5 2" xfId="5527"/>
    <cellStyle name="解释性文本 2 8 6" xfId="7275"/>
    <cellStyle name="解释性文本 2 9" xfId="3393"/>
    <cellStyle name="解释性文本 2 9 2" xfId="3394"/>
    <cellStyle name="解释性文本 2 9 2 2" xfId="3395"/>
    <cellStyle name="解释性文本 2 9 2 2 2" xfId="7286"/>
    <cellStyle name="解释性文本 2 9 2 2 3" xfId="7285"/>
    <cellStyle name="解释性文本 2 9 2 3" xfId="3396"/>
    <cellStyle name="解释性文本 2 9 2 3 2" xfId="7287"/>
    <cellStyle name="解释性文本 2 9 2 4" xfId="3397"/>
    <cellStyle name="解释性文本 2 9 2 4 2" xfId="7288"/>
    <cellStyle name="解释性文本 2 9 2 5" xfId="3398"/>
    <cellStyle name="解释性文本 2 9 2 5 2" xfId="5528"/>
    <cellStyle name="解释性文本 2 9 2 6" xfId="7284"/>
    <cellStyle name="解释性文本 2 9 3" xfId="3399"/>
    <cellStyle name="解释性文本 2 9 3 2" xfId="7290"/>
    <cellStyle name="解释性文本 2 9 3 3" xfId="7289"/>
    <cellStyle name="解释性文本 2 9 4" xfId="3400"/>
    <cellStyle name="解释性文本 2 9 4 2" xfId="8146"/>
    <cellStyle name="解释性文本 2 9 5" xfId="3401"/>
    <cellStyle name="解释性文本 2 9 5 2" xfId="9912"/>
    <cellStyle name="解释性文本 2 9 6" xfId="7283"/>
    <cellStyle name="解释性文本 3" xfId="3402"/>
    <cellStyle name="解释性文本 3 2" xfId="3403"/>
    <cellStyle name="解释性文本 3 2 2" xfId="3404"/>
    <cellStyle name="解释性文本 3 2 2 2" xfId="8492"/>
    <cellStyle name="解释性文本 3 2 3" xfId="4648"/>
    <cellStyle name="解释性文本 3 3" xfId="3405"/>
    <cellStyle name="解释性文本 3 3 2" xfId="4649"/>
    <cellStyle name="解释性文本 3 4" xfId="3406"/>
    <cellStyle name="解释性文本 3 4 2" xfId="5529"/>
    <cellStyle name="解释性文本 3 5" xfId="4647"/>
    <cellStyle name="解释性文本 4" xfId="3407"/>
    <cellStyle name="解释性文本 4 2" xfId="4650"/>
    <cellStyle name="解释性文本 5" xfId="7205"/>
    <cellStyle name="警告文本 2" xfId="3408"/>
    <cellStyle name="警告文本 2 10" xfId="3409"/>
    <cellStyle name="警告文本 2 10 2" xfId="3410"/>
    <cellStyle name="警告文本 2 10 2 2" xfId="3411"/>
    <cellStyle name="警告文本 2 10 2 2 2" xfId="7295"/>
    <cellStyle name="警告文本 2 10 2 2 3" xfId="7294"/>
    <cellStyle name="警告文本 2 10 2 3" xfId="3412"/>
    <cellStyle name="警告文本 2 10 2 3 2" xfId="7296"/>
    <cellStyle name="警告文本 2 10 2 4" xfId="3413"/>
    <cellStyle name="警告文本 2 10 2 4 2" xfId="7297"/>
    <cellStyle name="警告文本 2 10 2 5" xfId="3414"/>
    <cellStyle name="警告文本 2 10 2 5 2" xfId="9107"/>
    <cellStyle name="警告文本 2 10 2 6" xfId="7293"/>
    <cellStyle name="警告文本 2 10 3" xfId="3415"/>
    <cellStyle name="警告文本 2 10 3 2" xfId="7299"/>
    <cellStyle name="警告文本 2 10 3 3" xfId="7298"/>
    <cellStyle name="警告文本 2 10 4" xfId="3416"/>
    <cellStyle name="警告文本 2 10 4 2" xfId="8145"/>
    <cellStyle name="警告文本 2 10 5" xfId="3417"/>
    <cellStyle name="警告文本 2 10 5 2" xfId="9106"/>
    <cellStyle name="警告文本 2 10 6" xfId="7292"/>
    <cellStyle name="警告文本 2 11" xfId="3418"/>
    <cellStyle name="警告文本 2 11 2" xfId="3419"/>
    <cellStyle name="警告文本 2 11 2 2" xfId="3420"/>
    <cellStyle name="警告文本 2 11 2 2 2" xfId="7303"/>
    <cellStyle name="警告文本 2 11 2 2 3" xfId="7302"/>
    <cellStyle name="警告文本 2 11 2 3" xfId="3421"/>
    <cellStyle name="警告文本 2 11 2 3 2" xfId="7304"/>
    <cellStyle name="警告文本 2 11 2 4" xfId="3422"/>
    <cellStyle name="警告文本 2 11 2 4 2" xfId="7305"/>
    <cellStyle name="警告文本 2 11 2 5" xfId="3423"/>
    <cellStyle name="警告文本 2 11 2 5 2" xfId="5530"/>
    <cellStyle name="警告文本 2 11 2 6" xfId="7301"/>
    <cellStyle name="警告文本 2 11 3" xfId="3424"/>
    <cellStyle name="警告文本 2 11 3 2" xfId="7307"/>
    <cellStyle name="警告文本 2 11 3 3" xfId="7306"/>
    <cellStyle name="警告文本 2 11 4" xfId="3425"/>
    <cellStyle name="警告文本 2 11 4 2" xfId="8144"/>
    <cellStyle name="警告文本 2 11 5" xfId="3426"/>
    <cellStyle name="警告文本 2 11 5 2" xfId="8491"/>
    <cellStyle name="警告文本 2 11 6" xfId="7300"/>
    <cellStyle name="警告文本 2 12" xfId="3427"/>
    <cellStyle name="警告文本 2 12 2" xfId="3428"/>
    <cellStyle name="警告文本 2 12 2 2" xfId="3429"/>
    <cellStyle name="警告文本 2 12 2 2 2" xfId="7311"/>
    <cellStyle name="警告文本 2 12 2 2 3" xfId="7310"/>
    <cellStyle name="警告文本 2 12 2 3" xfId="3430"/>
    <cellStyle name="警告文本 2 12 2 3 2" xfId="7312"/>
    <cellStyle name="警告文本 2 12 2 4" xfId="3431"/>
    <cellStyle name="警告文本 2 12 2 4 2" xfId="7313"/>
    <cellStyle name="警告文本 2 12 2 5" xfId="3432"/>
    <cellStyle name="警告文本 2 12 2 5 2" xfId="9903"/>
    <cellStyle name="警告文本 2 12 2 6" xfId="7309"/>
    <cellStyle name="警告文本 2 12 3" xfId="3433"/>
    <cellStyle name="警告文本 2 12 3 2" xfId="7315"/>
    <cellStyle name="警告文本 2 12 3 3" xfId="7314"/>
    <cellStyle name="警告文本 2 12 4" xfId="3434"/>
    <cellStyle name="警告文本 2 12 4 2" xfId="8143"/>
    <cellStyle name="警告文本 2 12 5" xfId="3435"/>
    <cellStyle name="警告文本 2 12 5 2" xfId="9900"/>
    <cellStyle name="警告文本 2 12 6" xfId="7308"/>
    <cellStyle name="警告文本 2 13" xfId="3436"/>
    <cellStyle name="警告文本 2 13 2" xfId="3437"/>
    <cellStyle name="警告文本 2 13 2 2" xfId="7318"/>
    <cellStyle name="警告文本 2 13 2 3" xfId="7317"/>
    <cellStyle name="警告文本 2 13 3" xfId="3438"/>
    <cellStyle name="警告文本 2 13 3 2" xfId="7319"/>
    <cellStyle name="警告文本 2 13 4" xfId="3439"/>
    <cellStyle name="警告文本 2 13 4 2" xfId="7320"/>
    <cellStyle name="警告文本 2 13 5" xfId="3440"/>
    <cellStyle name="警告文本 2 13 5 2" xfId="9105"/>
    <cellStyle name="警告文本 2 13 6" xfId="7316"/>
    <cellStyle name="警告文本 2 14" xfId="3441"/>
    <cellStyle name="警告文本 2 14 2" xfId="3442"/>
    <cellStyle name="警告文本 2 14 2 2" xfId="7322"/>
    <cellStyle name="警告文本 2 14 3" xfId="7321"/>
    <cellStyle name="警告文本 2 15" xfId="3443"/>
    <cellStyle name="警告文本 2 15 2" xfId="8142"/>
    <cellStyle name="警告文本 2 16" xfId="3444"/>
    <cellStyle name="警告文本 2 16 2" xfId="9102"/>
    <cellStyle name="警告文本 2 17" xfId="4651"/>
    <cellStyle name="警告文本 2 2" xfId="3445"/>
    <cellStyle name="警告文本 2 2 2" xfId="3446"/>
    <cellStyle name="警告文本 2 2 2 2" xfId="3447"/>
    <cellStyle name="警告文本 2 2 2 2 2" xfId="3448"/>
    <cellStyle name="警告文本 2 2 2 2 2 2" xfId="7323"/>
    <cellStyle name="警告文本 2 2 2 2 3" xfId="3449"/>
    <cellStyle name="警告文本 2 2 2 2 3 2" xfId="8489"/>
    <cellStyle name="警告文本 2 2 2 2 4" xfId="3450"/>
    <cellStyle name="警告文本 2 2 2 2 4 2" xfId="9104"/>
    <cellStyle name="警告文本 2 2 2 2 5" xfId="4654"/>
    <cellStyle name="警告文本 2 2 2 3" xfId="3451"/>
    <cellStyle name="警告文本 2 2 2 3 2" xfId="7324"/>
    <cellStyle name="警告文本 2 2 2 4" xfId="3452"/>
    <cellStyle name="警告文本 2 2 2 4 2" xfId="7325"/>
    <cellStyle name="警告文本 2 2 2 5" xfId="3453"/>
    <cellStyle name="警告文本 2 2 2 5 2" xfId="9103"/>
    <cellStyle name="警告文本 2 2 2 6" xfId="4653"/>
    <cellStyle name="警告文本 2 2 3" xfId="3454"/>
    <cellStyle name="警告文本 2 2 3 2" xfId="3455"/>
    <cellStyle name="警告文本 2 2 3 2 2" xfId="7326"/>
    <cellStyle name="警告文本 2 2 3 3" xfId="3456"/>
    <cellStyle name="警告文本 2 2 3 3 2" xfId="9099"/>
    <cellStyle name="警告文本 2 2 3 4" xfId="3457"/>
    <cellStyle name="警告文本 2 2 3 4 2" xfId="5531"/>
    <cellStyle name="警告文本 2 2 3 5" xfId="4655"/>
    <cellStyle name="警告文本 2 2 4" xfId="3458"/>
    <cellStyle name="警告文本 2 2 4 2" xfId="8141"/>
    <cellStyle name="警告文本 2 2 5" xfId="3459"/>
    <cellStyle name="警告文本 2 2 5 2" xfId="8140"/>
    <cellStyle name="警告文本 2 2 6" xfId="4652"/>
    <cellStyle name="警告文本 2 3" xfId="3460"/>
    <cellStyle name="警告文本 2 3 2" xfId="3461"/>
    <cellStyle name="警告文本 2 3 2 2" xfId="3462"/>
    <cellStyle name="警告文本 2 3 2 2 2" xfId="3463"/>
    <cellStyle name="警告文本 2 3 2 2 2 2" xfId="7327"/>
    <cellStyle name="警告文本 2 3 2 2 3" xfId="3464"/>
    <cellStyle name="警告文本 2 3 2 2 3 2" xfId="9100"/>
    <cellStyle name="警告文本 2 3 2 2 4" xfId="3465"/>
    <cellStyle name="警告文本 2 3 2 2 4 2" xfId="6500"/>
    <cellStyle name="警告文本 2 3 2 2 5" xfId="4658"/>
    <cellStyle name="警告文本 2 3 2 3" xfId="3466"/>
    <cellStyle name="警告文本 2 3 2 3 2" xfId="7328"/>
    <cellStyle name="警告文本 2 3 2 4" xfId="3467"/>
    <cellStyle name="警告文本 2 3 2 4 2" xfId="7329"/>
    <cellStyle name="警告文本 2 3 2 5" xfId="3468"/>
    <cellStyle name="警告文本 2 3 2 5 2" xfId="9101"/>
    <cellStyle name="警告文本 2 3 2 6" xfId="4657"/>
    <cellStyle name="警告文本 2 3 3" xfId="3469"/>
    <cellStyle name="警告文本 2 3 3 2" xfId="3470"/>
    <cellStyle name="警告文本 2 3 3 2 2" xfId="7330"/>
    <cellStyle name="警告文本 2 3 3 3" xfId="3471"/>
    <cellStyle name="警告文本 2 3 3 3 2" xfId="5532"/>
    <cellStyle name="警告文本 2 3 3 4" xfId="3472"/>
    <cellStyle name="警告文本 2 3 3 4 2" xfId="5533"/>
    <cellStyle name="警告文本 2 3 3 5" xfId="4659"/>
    <cellStyle name="警告文本 2 3 4" xfId="3473"/>
    <cellStyle name="警告文本 2 3 4 2" xfId="8139"/>
    <cellStyle name="警告文本 2 3 5" xfId="3474"/>
    <cellStyle name="警告文本 2 3 5 2" xfId="8138"/>
    <cellStyle name="警告文本 2 3 6" xfId="4656"/>
    <cellStyle name="警告文本 2 4" xfId="3475"/>
    <cellStyle name="警告文本 2 4 2" xfId="3476"/>
    <cellStyle name="警告文本 2 4 2 2" xfId="3477"/>
    <cellStyle name="警告文本 2 4 2 2 2" xfId="7333"/>
    <cellStyle name="警告文本 2 4 2 2 3" xfId="7332"/>
    <cellStyle name="警告文本 2 4 2 3" xfId="3478"/>
    <cellStyle name="警告文本 2 4 2 3 2" xfId="7334"/>
    <cellStyle name="警告文本 2 4 2 4" xfId="3479"/>
    <cellStyle name="警告文本 2 4 2 4 2" xfId="7335"/>
    <cellStyle name="警告文本 2 4 2 5" xfId="3480"/>
    <cellStyle name="警告文本 2 4 2 5 2" xfId="5534"/>
    <cellStyle name="警告文本 2 4 2 6" xfId="7331"/>
    <cellStyle name="警告文本 2 4 3" xfId="3481"/>
    <cellStyle name="警告文本 2 4 3 2" xfId="7337"/>
    <cellStyle name="警告文本 2 4 3 3" xfId="7336"/>
    <cellStyle name="警告文本 2 4 4" xfId="3482"/>
    <cellStyle name="警告文本 2 4 4 2" xfId="8137"/>
    <cellStyle name="警告文本 2 4 5" xfId="3483"/>
    <cellStyle name="警告文本 2 4 5 2" xfId="5535"/>
    <cellStyle name="警告文本 2 4 6" xfId="4660"/>
    <cellStyle name="警告文本 2 5" xfId="3484"/>
    <cellStyle name="警告文本 2 5 2" xfId="3485"/>
    <cellStyle name="警告文本 2 5 2 2" xfId="3486"/>
    <cellStyle name="警告文本 2 5 2 2 2" xfId="7340"/>
    <cellStyle name="警告文本 2 5 2 2 3" xfId="7339"/>
    <cellStyle name="警告文本 2 5 2 3" xfId="3487"/>
    <cellStyle name="警告文本 2 5 2 3 2" xfId="7341"/>
    <cellStyle name="警告文本 2 5 2 4" xfId="3488"/>
    <cellStyle name="警告文本 2 5 2 4 2" xfId="7342"/>
    <cellStyle name="警告文本 2 5 2 5" xfId="3489"/>
    <cellStyle name="警告文本 2 5 2 5 2" xfId="9896"/>
    <cellStyle name="警告文本 2 5 2 6" xfId="7338"/>
    <cellStyle name="警告文本 2 5 3" xfId="3490"/>
    <cellStyle name="警告文本 2 5 3 2" xfId="7344"/>
    <cellStyle name="警告文本 2 5 3 3" xfId="7343"/>
    <cellStyle name="警告文本 2 5 4" xfId="3491"/>
    <cellStyle name="警告文本 2 5 4 2" xfId="8136"/>
    <cellStyle name="警告文本 2 5 5" xfId="3492"/>
    <cellStyle name="警告文本 2 5 5 2" xfId="5536"/>
    <cellStyle name="警告文本 2 5 6" xfId="4661"/>
    <cellStyle name="警告文本 2 6" xfId="3493"/>
    <cellStyle name="警告文本 2 6 2" xfId="3494"/>
    <cellStyle name="警告文本 2 6 2 2" xfId="3495"/>
    <cellStyle name="警告文本 2 6 2 2 2" xfId="7348"/>
    <cellStyle name="警告文本 2 6 2 2 3" xfId="7347"/>
    <cellStyle name="警告文本 2 6 2 3" xfId="3496"/>
    <cellStyle name="警告文本 2 6 2 3 2" xfId="7349"/>
    <cellStyle name="警告文本 2 6 2 4" xfId="3497"/>
    <cellStyle name="警告文本 2 6 2 4 2" xfId="7350"/>
    <cellStyle name="警告文本 2 6 2 5" xfId="3498"/>
    <cellStyle name="警告文本 2 6 2 5 2" xfId="9894"/>
    <cellStyle name="警告文本 2 6 2 6" xfId="7346"/>
    <cellStyle name="警告文本 2 6 3" xfId="3499"/>
    <cellStyle name="警告文本 2 6 3 2" xfId="7352"/>
    <cellStyle name="警告文本 2 6 3 3" xfId="7351"/>
    <cellStyle name="警告文本 2 6 4" xfId="3500"/>
    <cellStyle name="警告文本 2 6 4 2" xfId="8135"/>
    <cellStyle name="警告文本 2 6 5" xfId="3501"/>
    <cellStyle name="警告文本 2 6 5 2" xfId="8487"/>
    <cellStyle name="警告文本 2 6 6" xfId="7345"/>
    <cellStyle name="警告文本 2 7" xfId="3502"/>
    <cellStyle name="警告文本 2 7 2" xfId="3503"/>
    <cellStyle name="警告文本 2 7 2 2" xfId="3504"/>
    <cellStyle name="警告文本 2 7 2 2 2" xfId="7356"/>
    <cellStyle name="警告文本 2 7 2 2 3" xfId="7355"/>
    <cellStyle name="警告文本 2 7 2 3" xfId="3505"/>
    <cellStyle name="警告文本 2 7 2 3 2" xfId="7357"/>
    <cellStyle name="警告文本 2 7 2 4" xfId="3506"/>
    <cellStyle name="警告文本 2 7 2 4 2" xfId="7358"/>
    <cellStyle name="警告文本 2 7 2 5" xfId="3507"/>
    <cellStyle name="警告文本 2 7 2 5 2" xfId="8486"/>
    <cellStyle name="警告文本 2 7 2 6" xfId="7354"/>
    <cellStyle name="警告文本 2 7 3" xfId="3508"/>
    <cellStyle name="警告文本 2 7 3 2" xfId="7360"/>
    <cellStyle name="警告文本 2 7 3 3" xfId="7359"/>
    <cellStyle name="警告文本 2 7 4" xfId="3509"/>
    <cellStyle name="警告文本 2 7 4 2" xfId="8134"/>
    <cellStyle name="警告文本 2 7 5" xfId="3510"/>
    <cellStyle name="警告文本 2 7 5 2" xfId="9098"/>
    <cellStyle name="警告文本 2 7 6" xfId="7353"/>
    <cellStyle name="警告文本 2 8" xfId="3511"/>
    <cellStyle name="警告文本 2 8 2" xfId="3512"/>
    <cellStyle name="警告文本 2 8 2 2" xfId="3513"/>
    <cellStyle name="警告文本 2 8 2 2 2" xfId="7364"/>
    <cellStyle name="警告文本 2 8 2 2 3" xfId="7363"/>
    <cellStyle name="警告文本 2 8 2 3" xfId="3514"/>
    <cellStyle name="警告文本 2 8 2 3 2" xfId="7365"/>
    <cellStyle name="警告文本 2 8 2 4" xfId="3515"/>
    <cellStyle name="警告文本 2 8 2 4 2" xfId="7366"/>
    <cellStyle name="警告文本 2 8 2 5" xfId="3516"/>
    <cellStyle name="警告文本 2 8 2 5 2" xfId="5537"/>
    <cellStyle name="警告文本 2 8 2 6" xfId="7362"/>
    <cellStyle name="警告文本 2 8 3" xfId="3517"/>
    <cellStyle name="警告文本 2 8 3 2" xfId="7368"/>
    <cellStyle name="警告文本 2 8 3 3" xfId="7367"/>
    <cellStyle name="警告文本 2 8 4" xfId="3518"/>
    <cellStyle name="警告文本 2 8 4 2" xfId="8133"/>
    <cellStyle name="警告文本 2 8 5" xfId="3519"/>
    <cellStyle name="警告文本 2 8 5 2" xfId="9097"/>
    <cellStyle name="警告文本 2 8 6" xfId="7361"/>
    <cellStyle name="警告文本 2 9" xfId="3520"/>
    <cellStyle name="警告文本 2 9 2" xfId="3521"/>
    <cellStyle name="警告文本 2 9 2 2" xfId="3522"/>
    <cellStyle name="警告文本 2 9 2 2 2" xfId="7372"/>
    <cellStyle name="警告文本 2 9 2 2 3" xfId="7371"/>
    <cellStyle name="警告文本 2 9 2 3" xfId="3523"/>
    <cellStyle name="警告文本 2 9 2 3 2" xfId="7373"/>
    <cellStyle name="警告文本 2 9 2 4" xfId="3524"/>
    <cellStyle name="警告文本 2 9 2 4 2" xfId="7374"/>
    <cellStyle name="警告文本 2 9 2 5" xfId="3525"/>
    <cellStyle name="警告文本 2 9 2 5 2" xfId="5538"/>
    <cellStyle name="警告文本 2 9 2 6" xfId="7370"/>
    <cellStyle name="警告文本 2 9 3" xfId="3526"/>
    <cellStyle name="警告文本 2 9 3 2" xfId="7376"/>
    <cellStyle name="警告文本 2 9 3 3" xfId="7375"/>
    <cellStyle name="警告文本 2 9 4" xfId="3527"/>
    <cellStyle name="警告文本 2 9 4 2" xfId="8132"/>
    <cellStyle name="警告文本 2 9 5" xfId="3528"/>
    <cellStyle name="警告文本 2 9 5 2" xfId="9096"/>
    <cellStyle name="警告文本 2 9 6" xfId="7369"/>
    <cellStyle name="警告文本 3" xfId="3529"/>
    <cellStyle name="警告文本 3 2" xfId="3530"/>
    <cellStyle name="警告文本 3 2 2" xfId="3531"/>
    <cellStyle name="警告文本 3 2 2 2" xfId="5539"/>
    <cellStyle name="警告文本 3 2 3" xfId="4663"/>
    <cellStyle name="警告文本 3 3" xfId="3532"/>
    <cellStyle name="警告文本 3 3 2" xfId="4664"/>
    <cellStyle name="警告文本 3 4" xfId="3533"/>
    <cellStyle name="警告文本 3 4 2" xfId="8485"/>
    <cellStyle name="警告文本 3 5" xfId="4662"/>
    <cellStyle name="警告文本 4" xfId="3534"/>
    <cellStyle name="警告文本 4 2" xfId="4665"/>
    <cellStyle name="警告文本 5" xfId="7291"/>
    <cellStyle name="链接单元格 2" xfId="3535"/>
    <cellStyle name="链接单元格 2 10" xfId="3536"/>
    <cellStyle name="链接单元格 2 10 2" xfId="3537"/>
    <cellStyle name="链接单元格 2 10 2 2" xfId="3538"/>
    <cellStyle name="链接单元格 2 10 2 2 2" xfId="7381"/>
    <cellStyle name="链接单元格 2 10 2 2 3" xfId="7380"/>
    <cellStyle name="链接单元格 2 10 2 3" xfId="3539"/>
    <cellStyle name="链接单元格 2 10 2 3 2" xfId="7382"/>
    <cellStyle name="链接单元格 2 10 2 4" xfId="3540"/>
    <cellStyle name="链接单元格 2 10 2 4 2" xfId="7383"/>
    <cellStyle name="链接单元格 2 10 2 5" xfId="3541"/>
    <cellStyle name="链接单元格 2 10 2 5 2" xfId="9095"/>
    <cellStyle name="链接单元格 2 10 2 6" xfId="7379"/>
    <cellStyle name="链接单元格 2 10 3" xfId="3542"/>
    <cellStyle name="链接单元格 2 10 3 2" xfId="7385"/>
    <cellStyle name="链接单元格 2 10 3 3" xfId="7384"/>
    <cellStyle name="链接单元格 2 10 4" xfId="3543"/>
    <cellStyle name="链接单元格 2 10 4 2" xfId="8131"/>
    <cellStyle name="链接单元格 2 10 5" xfId="3544"/>
    <cellStyle name="链接单元格 2 10 5 2" xfId="9913"/>
    <cellStyle name="链接单元格 2 10 6" xfId="7378"/>
    <cellStyle name="链接单元格 2 11" xfId="3545"/>
    <cellStyle name="链接单元格 2 11 2" xfId="3546"/>
    <cellStyle name="链接单元格 2 11 2 2" xfId="3547"/>
    <cellStyle name="链接单元格 2 11 2 2 2" xfId="7389"/>
    <cellStyle name="链接单元格 2 11 2 2 3" xfId="7388"/>
    <cellStyle name="链接单元格 2 11 2 3" xfId="3548"/>
    <cellStyle name="链接单元格 2 11 2 3 2" xfId="7390"/>
    <cellStyle name="链接单元格 2 11 2 4" xfId="3549"/>
    <cellStyle name="链接单元格 2 11 2 4 2" xfId="7391"/>
    <cellStyle name="链接单元格 2 11 2 5" xfId="3550"/>
    <cellStyle name="链接单元格 2 11 2 5 2" xfId="8488"/>
    <cellStyle name="链接单元格 2 11 2 6" xfId="7387"/>
    <cellStyle name="链接单元格 2 11 3" xfId="3551"/>
    <cellStyle name="链接单元格 2 11 3 2" xfId="7393"/>
    <cellStyle name="链接单元格 2 11 3 3" xfId="7392"/>
    <cellStyle name="链接单元格 2 11 4" xfId="3552"/>
    <cellStyle name="链接单元格 2 11 4 2" xfId="8130"/>
    <cellStyle name="链接单元格 2 11 5" xfId="3553"/>
    <cellStyle name="链接单元格 2 11 5 2" xfId="9094"/>
    <cellStyle name="链接单元格 2 11 6" xfId="7386"/>
    <cellStyle name="链接单元格 2 12" xfId="3554"/>
    <cellStyle name="链接单元格 2 12 2" xfId="3555"/>
    <cellStyle name="链接单元格 2 12 2 2" xfId="3556"/>
    <cellStyle name="链接单元格 2 12 2 2 2" xfId="7397"/>
    <cellStyle name="链接单元格 2 12 2 2 3" xfId="7396"/>
    <cellStyle name="链接单元格 2 12 2 3" xfId="3557"/>
    <cellStyle name="链接单元格 2 12 2 3 2" xfId="7398"/>
    <cellStyle name="链接单元格 2 12 2 4" xfId="3558"/>
    <cellStyle name="链接单元格 2 12 2 4 2" xfId="7399"/>
    <cellStyle name="链接单元格 2 12 2 5" xfId="3559"/>
    <cellStyle name="链接单元格 2 12 2 5 2" xfId="9914"/>
    <cellStyle name="链接单元格 2 12 2 6" xfId="7395"/>
    <cellStyle name="链接单元格 2 12 3" xfId="3560"/>
    <cellStyle name="链接单元格 2 12 3 2" xfId="7401"/>
    <cellStyle name="链接单元格 2 12 3 3" xfId="7400"/>
    <cellStyle name="链接单元格 2 12 4" xfId="3561"/>
    <cellStyle name="链接单元格 2 12 4 2" xfId="8129"/>
    <cellStyle name="链接单元格 2 12 5" xfId="3562"/>
    <cellStyle name="链接单元格 2 12 5 2" xfId="5540"/>
    <cellStyle name="链接单元格 2 12 6" xfId="7394"/>
    <cellStyle name="链接单元格 2 13" xfId="3563"/>
    <cellStyle name="链接单元格 2 13 2" xfId="3564"/>
    <cellStyle name="链接单元格 2 13 2 2" xfId="7404"/>
    <cellStyle name="链接单元格 2 13 2 3" xfId="7403"/>
    <cellStyle name="链接单元格 2 13 3" xfId="3565"/>
    <cellStyle name="链接单元格 2 13 3 2" xfId="7405"/>
    <cellStyle name="链接单元格 2 13 4" xfId="3566"/>
    <cellStyle name="链接单元格 2 13 4 2" xfId="7406"/>
    <cellStyle name="链接单元格 2 13 5" xfId="3567"/>
    <cellStyle name="链接单元格 2 13 5 2" xfId="5541"/>
    <cellStyle name="链接单元格 2 13 6" xfId="7402"/>
    <cellStyle name="链接单元格 2 14" xfId="3568"/>
    <cellStyle name="链接单元格 2 14 2" xfId="3569"/>
    <cellStyle name="链接单元格 2 14 2 2" xfId="7408"/>
    <cellStyle name="链接单元格 2 14 3" xfId="7407"/>
    <cellStyle name="链接单元格 2 15" xfId="3570"/>
    <cellStyle name="链接单元格 2 15 2" xfId="8128"/>
    <cellStyle name="链接单元格 2 16" xfId="3571"/>
    <cellStyle name="链接单元格 2 16 2" xfId="5542"/>
    <cellStyle name="链接单元格 2 17" xfId="4666"/>
    <cellStyle name="链接单元格 2 2" xfId="3572"/>
    <cellStyle name="链接单元格 2 2 2" xfId="3573"/>
    <cellStyle name="链接单元格 2 2 2 2" xfId="3574"/>
    <cellStyle name="链接单元格 2 2 2 2 2" xfId="3575"/>
    <cellStyle name="链接单元格 2 2 2 2 2 2" xfId="7409"/>
    <cellStyle name="链接单元格 2 2 2 2 3" xfId="3576"/>
    <cellStyle name="链接单元格 2 2 2 2 3 2" xfId="9891"/>
    <cellStyle name="链接单元格 2 2 2 2 4" xfId="3577"/>
    <cellStyle name="链接单元格 2 2 2 2 4 2" xfId="5543"/>
    <cellStyle name="链接单元格 2 2 2 2 5" xfId="4669"/>
    <cellStyle name="链接单元格 2 2 2 3" xfId="3578"/>
    <cellStyle name="链接单元格 2 2 2 3 2" xfId="7410"/>
    <cellStyle name="链接单元格 2 2 2 4" xfId="3579"/>
    <cellStyle name="链接单元格 2 2 2 4 2" xfId="7411"/>
    <cellStyle name="链接单元格 2 2 2 5" xfId="3580"/>
    <cellStyle name="链接单元格 2 2 2 5 2" xfId="9093"/>
    <cellStyle name="链接单元格 2 2 2 6" xfId="4668"/>
    <cellStyle name="链接单元格 2 2 3" xfId="3581"/>
    <cellStyle name="链接单元格 2 2 3 2" xfId="3582"/>
    <cellStyle name="链接单元格 2 2 3 2 2" xfId="7412"/>
    <cellStyle name="链接单元格 2 2 3 3" xfId="3583"/>
    <cellStyle name="链接单元格 2 2 3 3 2" xfId="5544"/>
    <cellStyle name="链接单元格 2 2 3 4" xfId="3584"/>
    <cellStyle name="链接单元格 2 2 3 4 2" xfId="6508"/>
    <cellStyle name="链接单元格 2 2 3 5" xfId="4670"/>
    <cellStyle name="链接单元格 2 2 4" xfId="3585"/>
    <cellStyle name="链接单元格 2 2 4 2" xfId="8127"/>
    <cellStyle name="链接单元格 2 2 5" xfId="3586"/>
    <cellStyle name="链接单元格 2 2 5 2" xfId="8126"/>
    <cellStyle name="链接单元格 2 2 6" xfId="4667"/>
    <cellStyle name="链接单元格 2 3" xfId="3587"/>
    <cellStyle name="链接单元格 2 3 2" xfId="3588"/>
    <cellStyle name="链接单元格 2 3 2 2" xfId="3589"/>
    <cellStyle name="链接单元格 2 3 2 2 2" xfId="3590"/>
    <cellStyle name="链接单元格 2 3 2 2 2 2" xfId="7413"/>
    <cellStyle name="链接单元格 2 3 2 2 3" xfId="3591"/>
    <cellStyle name="链接单元格 2 3 2 2 3 2" xfId="9915"/>
    <cellStyle name="链接单元格 2 3 2 2 4" xfId="3592"/>
    <cellStyle name="链接单元格 2 3 2 2 4 2" xfId="9092"/>
    <cellStyle name="链接单元格 2 3 2 2 5" xfId="4673"/>
    <cellStyle name="链接单元格 2 3 2 3" xfId="3593"/>
    <cellStyle name="链接单元格 2 3 2 3 2" xfId="7414"/>
    <cellStyle name="链接单元格 2 3 2 4" xfId="3594"/>
    <cellStyle name="链接单元格 2 3 2 4 2" xfId="7415"/>
    <cellStyle name="链接单元格 2 3 2 5" xfId="3595"/>
    <cellStyle name="链接单元格 2 3 2 5 2" xfId="9889"/>
    <cellStyle name="链接单元格 2 3 2 6" xfId="4672"/>
    <cellStyle name="链接单元格 2 3 3" xfId="3596"/>
    <cellStyle name="链接单元格 2 3 3 2" xfId="3597"/>
    <cellStyle name="链接单元格 2 3 3 2 2" xfId="7416"/>
    <cellStyle name="链接单元格 2 3 3 3" xfId="3598"/>
    <cellStyle name="链接单元格 2 3 3 3 2" xfId="5545"/>
    <cellStyle name="链接单元格 2 3 3 4" xfId="3599"/>
    <cellStyle name="链接单元格 2 3 3 4 2" xfId="9916"/>
    <cellStyle name="链接单元格 2 3 3 5" xfId="4674"/>
    <cellStyle name="链接单元格 2 3 4" xfId="3600"/>
    <cellStyle name="链接单元格 2 3 4 2" xfId="8125"/>
    <cellStyle name="链接单元格 2 3 5" xfId="3601"/>
    <cellStyle name="链接单元格 2 3 5 2" xfId="8124"/>
    <cellStyle name="链接单元格 2 3 6" xfId="4671"/>
    <cellStyle name="链接单元格 2 4" xfId="3602"/>
    <cellStyle name="链接单元格 2 4 2" xfId="3603"/>
    <cellStyle name="链接单元格 2 4 2 2" xfId="3604"/>
    <cellStyle name="链接单元格 2 4 2 2 2" xfId="7419"/>
    <cellStyle name="链接单元格 2 4 2 2 3" xfId="7418"/>
    <cellStyle name="链接单元格 2 4 2 3" xfId="3605"/>
    <cellStyle name="链接单元格 2 4 2 3 2" xfId="7420"/>
    <cellStyle name="链接单元格 2 4 2 4" xfId="3606"/>
    <cellStyle name="链接单元格 2 4 2 4 2" xfId="7421"/>
    <cellStyle name="链接单元格 2 4 2 5" xfId="3607"/>
    <cellStyle name="链接单元格 2 4 2 5 2" xfId="9888"/>
    <cellStyle name="链接单元格 2 4 2 6" xfId="7417"/>
    <cellStyle name="链接单元格 2 4 3" xfId="3608"/>
    <cellStyle name="链接单元格 2 4 3 2" xfId="7423"/>
    <cellStyle name="链接单元格 2 4 3 3" xfId="7422"/>
    <cellStyle name="链接单元格 2 4 4" xfId="3609"/>
    <cellStyle name="链接单元格 2 4 4 2" xfId="8123"/>
    <cellStyle name="链接单元格 2 4 5" xfId="3610"/>
    <cellStyle name="链接单元格 2 4 5 2" xfId="9091"/>
    <cellStyle name="链接单元格 2 4 6" xfId="4675"/>
    <cellStyle name="链接单元格 2 5" xfId="3611"/>
    <cellStyle name="链接单元格 2 5 2" xfId="3612"/>
    <cellStyle name="链接单元格 2 5 2 2" xfId="3613"/>
    <cellStyle name="链接单元格 2 5 2 2 2" xfId="7426"/>
    <cellStyle name="链接单元格 2 5 2 2 3" xfId="7425"/>
    <cellStyle name="链接单元格 2 5 2 3" xfId="3614"/>
    <cellStyle name="链接单元格 2 5 2 3 2" xfId="7427"/>
    <cellStyle name="链接单元格 2 5 2 4" xfId="3615"/>
    <cellStyle name="链接单元格 2 5 2 4 2" xfId="7428"/>
    <cellStyle name="链接单元格 2 5 2 5" xfId="3616"/>
    <cellStyle name="链接单元格 2 5 2 5 2" xfId="5546"/>
    <cellStyle name="链接单元格 2 5 2 6" xfId="7424"/>
    <cellStyle name="链接单元格 2 5 3" xfId="3617"/>
    <cellStyle name="链接单元格 2 5 3 2" xfId="7430"/>
    <cellStyle name="链接单元格 2 5 3 3" xfId="7429"/>
    <cellStyle name="链接单元格 2 5 4" xfId="3618"/>
    <cellStyle name="链接单元格 2 5 4 2" xfId="8122"/>
    <cellStyle name="链接单元格 2 5 5" xfId="3619"/>
    <cellStyle name="链接单元格 2 5 5 2" xfId="9917"/>
    <cellStyle name="链接单元格 2 5 6" xfId="4676"/>
    <cellStyle name="链接单元格 2 6" xfId="3620"/>
    <cellStyle name="链接单元格 2 6 2" xfId="3621"/>
    <cellStyle name="链接单元格 2 6 2 2" xfId="3622"/>
    <cellStyle name="链接单元格 2 6 2 2 2" xfId="7434"/>
    <cellStyle name="链接单元格 2 6 2 2 3" xfId="7433"/>
    <cellStyle name="链接单元格 2 6 2 3" xfId="3623"/>
    <cellStyle name="链接单元格 2 6 2 3 2" xfId="7435"/>
    <cellStyle name="链接单元格 2 6 2 4" xfId="3624"/>
    <cellStyle name="链接单元格 2 6 2 4 2" xfId="7436"/>
    <cellStyle name="链接单元格 2 6 2 5" xfId="3625"/>
    <cellStyle name="链接单元格 2 6 2 5 2" xfId="9887"/>
    <cellStyle name="链接单元格 2 6 2 6" xfId="7432"/>
    <cellStyle name="链接单元格 2 6 3" xfId="3626"/>
    <cellStyle name="链接单元格 2 6 3 2" xfId="7438"/>
    <cellStyle name="链接单元格 2 6 3 3" xfId="7437"/>
    <cellStyle name="链接单元格 2 6 4" xfId="3627"/>
    <cellStyle name="链接单元格 2 6 4 2" xfId="8121"/>
    <cellStyle name="链接单元格 2 6 5" xfId="3628"/>
    <cellStyle name="链接单元格 2 6 5 2" xfId="9089"/>
    <cellStyle name="链接单元格 2 6 6" xfId="7431"/>
    <cellStyle name="链接单元格 2 7" xfId="3629"/>
    <cellStyle name="链接单元格 2 7 2" xfId="3630"/>
    <cellStyle name="链接单元格 2 7 2 2" xfId="3631"/>
    <cellStyle name="链接单元格 2 7 2 2 2" xfId="7442"/>
    <cellStyle name="链接单元格 2 7 2 2 3" xfId="7441"/>
    <cellStyle name="链接单元格 2 7 2 3" xfId="3632"/>
    <cellStyle name="链接单元格 2 7 2 3 2" xfId="7443"/>
    <cellStyle name="链接单元格 2 7 2 4" xfId="3633"/>
    <cellStyle name="链接单元格 2 7 2 4 2" xfId="7444"/>
    <cellStyle name="链接单元格 2 7 2 5" xfId="3634"/>
    <cellStyle name="链接单元格 2 7 2 5 2" xfId="5547"/>
    <cellStyle name="链接单元格 2 7 2 6" xfId="7440"/>
    <cellStyle name="链接单元格 2 7 3" xfId="3635"/>
    <cellStyle name="链接单元格 2 7 3 2" xfId="7446"/>
    <cellStyle name="链接单元格 2 7 3 3" xfId="7445"/>
    <cellStyle name="链接单元格 2 7 4" xfId="3636"/>
    <cellStyle name="链接单元格 2 7 4 2" xfId="8120"/>
    <cellStyle name="链接单元格 2 7 5" xfId="3637"/>
    <cellStyle name="链接单元格 2 7 5 2" xfId="9918"/>
    <cellStyle name="链接单元格 2 7 6" xfId="7439"/>
    <cellStyle name="链接单元格 2 8" xfId="3638"/>
    <cellStyle name="链接单元格 2 8 2" xfId="3639"/>
    <cellStyle name="链接单元格 2 8 2 2" xfId="3640"/>
    <cellStyle name="链接单元格 2 8 2 2 2" xfId="7450"/>
    <cellStyle name="链接单元格 2 8 2 2 3" xfId="7449"/>
    <cellStyle name="链接单元格 2 8 2 3" xfId="3641"/>
    <cellStyle name="链接单元格 2 8 2 3 2" xfId="7451"/>
    <cellStyle name="链接单元格 2 8 2 4" xfId="3642"/>
    <cellStyle name="链接单元格 2 8 2 4 2" xfId="7452"/>
    <cellStyle name="链接单元格 2 8 2 5" xfId="3643"/>
    <cellStyle name="链接单元格 2 8 2 5 2" xfId="5548"/>
    <cellStyle name="链接单元格 2 8 2 6" xfId="7448"/>
    <cellStyle name="链接单元格 2 8 3" xfId="3644"/>
    <cellStyle name="链接单元格 2 8 3 2" xfId="7454"/>
    <cellStyle name="链接单元格 2 8 3 3" xfId="7453"/>
    <cellStyle name="链接单元格 2 8 4" xfId="3645"/>
    <cellStyle name="链接单元格 2 8 4 2" xfId="8119"/>
    <cellStyle name="链接单元格 2 8 5" xfId="3646"/>
    <cellStyle name="链接单元格 2 8 5 2" xfId="5549"/>
    <cellStyle name="链接单元格 2 8 6" xfId="7447"/>
    <cellStyle name="链接单元格 2 9" xfId="3647"/>
    <cellStyle name="链接单元格 2 9 2" xfId="3648"/>
    <cellStyle name="链接单元格 2 9 2 2" xfId="3649"/>
    <cellStyle name="链接单元格 2 9 2 2 2" xfId="7458"/>
    <cellStyle name="链接单元格 2 9 2 2 3" xfId="7457"/>
    <cellStyle name="链接单元格 2 9 2 3" xfId="3650"/>
    <cellStyle name="链接单元格 2 9 2 3 2" xfId="7459"/>
    <cellStyle name="链接单元格 2 9 2 4" xfId="3651"/>
    <cellStyle name="链接单元格 2 9 2 4 2" xfId="7460"/>
    <cellStyle name="链接单元格 2 9 2 5" xfId="3652"/>
    <cellStyle name="链接单元格 2 9 2 5 2" xfId="5550"/>
    <cellStyle name="链接单元格 2 9 2 6" xfId="7456"/>
    <cellStyle name="链接单元格 2 9 3" xfId="3653"/>
    <cellStyle name="链接单元格 2 9 3 2" xfId="7462"/>
    <cellStyle name="链接单元格 2 9 3 3" xfId="7461"/>
    <cellStyle name="链接单元格 2 9 4" xfId="3654"/>
    <cellStyle name="链接单元格 2 9 4 2" xfId="8118"/>
    <cellStyle name="链接单元格 2 9 5" xfId="3655"/>
    <cellStyle name="链接单元格 2 9 5 2" xfId="9919"/>
    <cellStyle name="链接单元格 2 9 6" xfId="7455"/>
    <cellStyle name="链接单元格 3" xfId="3656"/>
    <cellStyle name="链接单元格 3 2" xfId="3657"/>
    <cellStyle name="链接单元格 3 2 2" xfId="3658"/>
    <cellStyle name="链接单元格 3 2 2 2" xfId="5551"/>
    <cellStyle name="链接单元格 3 2 3" xfId="4678"/>
    <cellStyle name="链接单元格 3 3" xfId="3659"/>
    <cellStyle name="链接单元格 3 3 2" xfId="4679"/>
    <cellStyle name="链接单元格 3 4" xfId="3660"/>
    <cellStyle name="链接单元格 3 4 2" xfId="9886"/>
    <cellStyle name="链接单元格 3 5" xfId="4677"/>
    <cellStyle name="链接单元格 4" xfId="3661"/>
    <cellStyle name="链接单元格 4 2" xfId="4680"/>
    <cellStyle name="链接单元格 5" xfId="7377"/>
    <cellStyle name="普通_97-917" xfId="3662"/>
    <cellStyle name="千分位[0]_laroux" xfId="3663"/>
    <cellStyle name="千分位_97-917" xfId="3664"/>
    <cellStyle name="千位[0]_1" xfId="3665"/>
    <cellStyle name="千位_1" xfId="3666"/>
    <cellStyle name="千位分隔 2" xfId="3667"/>
    <cellStyle name="千位分隔 2 2" xfId="3668"/>
    <cellStyle name="千位分隔 2 2 2" xfId="3669"/>
    <cellStyle name="千位分隔 2 2 2 2" xfId="3670"/>
    <cellStyle name="千位分隔 2 2 2 2 2" xfId="3671"/>
    <cellStyle name="千位分隔 2 2 2 2 2 2" xfId="3672"/>
    <cellStyle name="千位分隔 2 2 2 2 2 2 2" xfId="5552"/>
    <cellStyle name="千位分隔 2 2 2 2 2 3" xfId="4686"/>
    <cellStyle name="千位分隔 2 2 2 2 2 3 2" xfId="7471"/>
    <cellStyle name="千位分隔 2 2 2 2 2 3 3" xfId="4882"/>
    <cellStyle name="千位分隔 2 2 2 2 2 4" xfId="8602"/>
    <cellStyle name="千位分隔 2 2 2 2 2 5" xfId="8115"/>
    <cellStyle name="千位分隔 2 2 2 2 3" xfId="3673"/>
    <cellStyle name="千位分隔 2 2 2 2 3 2" xfId="5553"/>
    <cellStyle name="千位分隔 2 2 2 2 4" xfId="3674"/>
    <cellStyle name="千位分隔 2 2 2 2 4 2" xfId="9885"/>
    <cellStyle name="千位分隔 2 2 2 2 5" xfId="3675"/>
    <cellStyle name="千位分隔 2 2 2 2 5 2" xfId="5554"/>
    <cellStyle name="千位分隔 2 2 2 2 6" xfId="4685"/>
    <cellStyle name="千位分隔 2 2 2 2 6 2" xfId="7470"/>
    <cellStyle name="千位分隔 2 2 2 2 7" xfId="8116"/>
    <cellStyle name="千位分隔 2 2 2 3" xfId="3676"/>
    <cellStyle name="千位分隔 2 2 2 3 2" xfId="3677"/>
    <cellStyle name="千位分隔 2 2 2 3 2 2" xfId="9884"/>
    <cellStyle name="千位分隔 2 2 2 3 3" xfId="3678"/>
    <cellStyle name="千位分隔 2 2 2 3 3 2" xfId="5555"/>
    <cellStyle name="千位分隔 2 2 2 3 4" xfId="4687"/>
    <cellStyle name="千位分隔 2 2 2 3 4 2" xfId="8603"/>
    <cellStyle name="千位分隔 2 2 2 3 5" xfId="8114"/>
    <cellStyle name="千位分隔 2 2 2 4" xfId="3679"/>
    <cellStyle name="千位分隔 2 2 2 4 2" xfId="7473"/>
    <cellStyle name="千位分隔 2 2 2 4 2 2" xfId="4885"/>
    <cellStyle name="千位分隔 2 2 2 4 3" xfId="8604"/>
    <cellStyle name="千位分隔 2 2 2 4 4" xfId="9088"/>
    <cellStyle name="千位分隔 2 2 2 5" xfId="3680"/>
    <cellStyle name="千位分隔 2 2 2 5 2" xfId="8113"/>
    <cellStyle name="千位分隔 2 2 2 5 3" xfId="5556"/>
    <cellStyle name="千位分隔 2 2 2 6" xfId="3681"/>
    <cellStyle name="千位分隔 2 2 2 6 2" xfId="9920"/>
    <cellStyle name="千位分隔 2 2 2 7" xfId="3682"/>
    <cellStyle name="千位分隔 2 2 2 7 2" xfId="9086"/>
    <cellStyle name="千位分隔 2 2 2 8" xfId="4684"/>
    <cellStyle name="千位分隔 2 2 2 8 2" xfId="7469"/>
    <cellStyle name="千位分隔 2 2 2 9" xfId="8117"/>
    <cellStyle name="千位分隔 2 2 3" xfId="3683"/>
    <cellStyle name="千位分隔 2 2 3 2" xfId="3684"/>
    <cellStyle name="千位分隔 2 2 3 2 2" xfId="3685"/>
    <cellStyle name="千位分隔 2 2 3 2 2 2" xfId="9087"/>
    <cellStyle name="千位分隔 2 2 3 2 3" xfId="4689"/>
    <cellStyle name="千位分隔 2 2 3 2 3 2" xfId="7475"/>
    <cellStyle name="千位分隔 2 2 3 2 3 3" xfId="4883"/>
    <cellStyle name="千位分隔 2 2 3 2 4" xfId="8606"/>
    <cellStyle name="千位分隔 2 2 3 2 5" xfId="8111"/>
    <cellStyle name="千位分隔 2 2 3 3" xfId="3686"/>
    <cellStyle name="千位分隔 2 2 3 3 2" xfId="5557"/>
    <cellStyle name="千位分隔 2 2 3 4" xfId="3687"/>
    <cellStyle name="千位分隔 2 2 3 4 2" xfId="5558"/>
    <cellStyle name="千位分隔 2 2 3 5" xfId="3688"/>
    <cellStyle name="千位分隔 2 2 3 5 2" xfId="5559"/>
    <cellStyle name="千位分隔 2 2 3 6" xfId="4688"/>
    <cellStyle name="千位分隔 2 2 3 6 2" xfId="7474"/>
    <cellStyle name="千位分隔 2 2 3 7" xfId="8112"/>
    <cellStyle name="千位分隔 2 2 4" xfId="3689"/>
    <cellStyle name="千位分隔 2 2 4 2" xfId="3690"/>
    <cellStyle name="千位分隔 2 2 4 2 2" xfId="5560"/>
    <cellStyle name="千位分隔 2 2 4 3" xfId="4690"/>
    <cellStyle name="千位分隔 2 2 5" xfId="3691"/>
    <cellStyle name="千位分隔 2 2 5 2" xfId="8110"/>
    <cellStyle name="千位分隔 2 2 6" xfId="3692"/>
    <cellStyle name="千位分隔 2 2 6 2" xfId="8109"/>
    <cellStyle name="千位分隔 2 2 6 3" xfId="5561"/>
    <cellStyle name="千位分隔 2 2 7" xfId="3693"/>
    <cellStyle name="千位分隔 2 2 7 2" xfId="8108"/>
    <cellStyle name="千位分隔 2 2 8" xfId="3694"/>
    <cellStyle name="千位分隔 2 2 8 2" xfId="5562"/>
    <cellStyle name="千位分隔 2 2 9" xfId="4683"/>
    <cellStyle name="千位分隔 2 3" xfId="3695"/>
    <cellStyle name="千位分隔 2 3 2" xfId="3696"/>
    <cellStyle name="千位分隔 2 3 2 2" xfId="3697"/>
    <cellStyle name="千位分隔 2 3 2 2 2" xfId="3698"/>
    <cellStyle name="千位分隔 2 3 2 2 2 2" xfId="3699"/>
    <cellStyle name="千位分隔 2 3 2 2 2 2 2" xfId="9083"/>
    <cellStyle name="千位分隔 2 3 2 2 2 3" xfId="4694"/>
    <cellStyle name="千位分隔 2 3 2 2 2 3 2" xfId="7478"/>
    <cellStyle name="千位分隔 2 3 2 2 2 3 3" xfId="5671"/>
    <cellStyle name="千位分隔 2 3 2 2 2 4" xfId="8608"/>
    <cellStyle name="千位分隔 2 3 2 2 2 5" xfId="8105"/>
    <cellStyle name="千位分隔 2 3 2 2 3" xfId="3700"/>
    <cellStyle name="千位分隔 2 3 2 2 3 2" xfId="5563"/>
    <cellStyle name="千位分隔 2 3 2 2 4" xfId="3701"/>
    <cellStyle name="千位分隔 2 3 2 2 4 2" xfId="9882"/>
    <cellStyle name="千位分隔 2 3 2 2 5" xfId="3702"/>
    <cellStyle name="千位分隔 2 3 2 2 5 2" xfId="5564"/>
    <cellStyle name="千位分隔 2 3 2 2 6" xfId="4693"/>
    <cellStyle name="千位分隔 2 3 2 2 6 2" xfId="7477"/>
    <cellStyle name="千位分隔 2 3 2 2 7" xfId="8106"/>
    <cellStyle name="千位分隔 2 3 2 3" xfId="3703"/>
    <cellStyle name="千位分隔 2 3 2 3 2" xfId="3704"/>
    <cellStyle name="千位分隔 2 3 2 3 2 2" xfId="5565"/>
    <cellStyle name="千位分隔 2 3 2 3 3" xfId="3705"/>
    <cellStyle name="千位分隔 2 3 2 3 3 2" xfId="9084"/>
    <cellStyle name="千位分隔 2 3 2 3 4" xfId="4695"/>
    <cellStyle name="千位分隔 2 3 2 3 4 2" xfId="8609"/>
    <cellStyle name="千位分隔 2 3 2 3 5" xfId="8104"/>
    <cellStyle name="千位分隔 2 3 2 4" xfId="3706"/>
    <cellStyle name="千位分隔 2 3 2 4 2" xfId="7479"/>
    <cellStyle name="千位分隔 2 3 2 4 2 2" xfId="4884"/>
    <cellStyle name="千位分隔 2 3 2 4 3" xfId="8610"/>
    <cellStyle name="千位分隔 2 3 2 4 4" xfId="5566"/>
    <cellStyle name="千位分隔 2 3 2 5" xfId="3707"/>
    <cellStyle name="千位分隔 2 3 2 5 2" xfId="8103"/>
    <cellStyle name="千位分隔 2 3 2 5 3" xfId="9881"/>
    <cellStyle name="千位分隔 2 3 2 6" xfId="3708"/>
    <cellStyle name="千位分隔 2 3 2 6 2" xfId="5567"/>
    <cellStyle name="千位分隔 2 3 2 7" xfId="3709"/>
    <cellStyle name="千位分隔 2 3 2 7 2" xfId="5568"/>
    <cellStyle name="千位分隔 2 3 2 8" xfId="4692"/>
    <cellStyle name="千位分隔 2 3 2 8 2" xfId="7476"/>
    <cellStyle name="千位分隔 2 3 2 9" xfId="8107"/>
    <cellStyle name="千位分隔 2 3 3" xfId="3710"/>
    <cellStyle name="千位分隔 2 3 3 2" xfId="3711"/>
    <cellStyle name="千位分隔 2 3 3 2 2" xfId="3712"/>
    <cellStyle name="千位分隔 2 3 3 2 2 2" xfId="5569"/>
    <cellStyle name="千位分隔 2 3 3 2 3" xfId="4697"/>
    <cellStyle name="千位分隔 2 3 3 2 3 2" xfId="7481"/>
    <cellStyle name="千位分隔 2 3 3 2 3 3" xfId="5672"/>
    <cellStyle name="千位分隔 2 3 3 2 4" xfId="8611"/>
    <cellStyle name="千位分隔 2 3 3 2 5" xfId="8101"/>
    <cellStyle name="千位分隔 2 3 3 3" xfId="3713"/>
    <cellStyle name="千位分隔 2 3 3 3 2" xfId="9921"/>
    <cellStyle name="千位分隔 2 3 3 4" xfId="3714"/>
    <cellStyle name="千位分隔 2 3 3 4 2" xfId="5570"/>
    <cellStyle name="千位分隔 2 3 3 5" xfId="3715"/>
    <cellStyle name="千位分隔 2 3 3 5 2" xfId="9922"/>
    <cellStyle name="千位分隔 2 3 3 6" xfId="4696"/>
    <cellStyle name="千位分隔 2 3 3 6 2" xfId="7480"/>
    <cellStyle name="千位分隔 2 3 3 7" xfId="8102"/>
    <cellStyle name="千位分隔 2 3 4" xfId="3716"/>
    <cellStyle name="千位分隔 2 3 4 2" xfId="3717"/>
    <cellStyle name="千位分隔 2 3 4 2 2" xfId="5571"/>
    <cellStyle name="千位分隔 2 3 4 3" xfId="4698"/>
    <cellStyle name="千位分隔 2 3 5" xfId="3718"/>
    <cellStyle name="千位分隔 2 3 5 2" xfId="8100"/>
    <cellStyle name="千位分隔 2 3 6" xfId="3719"/>
    <cellStyle name="千位分隔 2 3 6 2" xfId="8099"/>
    <cellStyle name="千位分隔 2 3 6 3" xfId="9880"/>
    <cellStyle name="千位分隔 2 3 7" xfId="3720"/>
    <cellStyle name="千位分隔 2 3 7 2" xfId="8098"/>
    <cellStyle name="千位分隔 2 3 8" xfId="3721"/>
    <cellStyle name="千位分隔 2 3 8 2" xfId="5572"/>
    <cellStyle name="千位分隔 2 3 9" xfId="4691"/>
    <cellStyle name="千位分隔 2 4" xfId="3722"/>
    <cellStyle name="千位分隔 2 4 2" xfId="3723"/>
    <cellStyle name="千位分隔 2 4 2 2" xfId="3724"/>
    <cellStyle name="千位分隔 2 4 2 2 2" xfId="3725"/>
    <cellStyle name="千位分隔 2 4 2 2 2 2" xfId="8612"/>
    <cellStyle name="千位分隔 2 4 2 2 3" xfId="3726"/>
    <cellStyle name="千位分隔 2 4 2 2 3 2" xfId="5573"/>
    <cellStyle name="千位分隔 2 4 2 2 4" xfId="4701"/>
    <cellStyle name="千位分隔 2 4 2 3" xfId="3727"/>
    <cellStyle name="千位分隔 2 4 2 3 2" xfId="8613"/>
    <cellStyle name="千位分隔 2 4 2 4" xfId="3728"/>
    <cellStyle name="千位分隔 2 4 2 4 2" xfId="8614"/>
    <cellStyle name="千位分隔 2 4 2 5" xfId="3729"/>
    <cellStyle name="千位分隔 2 4 2 5 2" xfId="9879"/>
    <cellStyle name="千位分隔 2 4 2 6" xfId="4700"/>
    <cellStyle name="千位分隔 2 4 3" xfId="3730"/>
    <cellStyle name="千位分隔 2 4 3 2" xfId="3731"/>
    <cellStyle name="千位分隔 2 4 3 2 2" xfId="8616"/>
    <cellStyle name="千位分隔 2 4 3 3" xfId="3732"/>
    <cellStyle name="千位分隔 2 4 3 3 2" xfId="9878"/>
    <cellStyle name="千位分隔 2 4 3 4" xfId="3733"/>
    <cellStyle name="千位分隔 2 4 3 4 2" xfId="9082"/>
    <cellStyle name="千位分隔 2 4 3 5" xfId="4702"/>
    <cellStyle name="千位分隔 2 4 4" xfId="3734"/>
    <cellStyle name="千位分隔 2 4 4 2" xfId="8097"/>
    <cellStyle name="千位分隔 2 4 5" xfId="3735"/>
    <cellStyle name="千位分隔 2 4 5 2" xfId="8096"/>
    <cellStyle name="千位分隔 2 4 6" xfId="4699"/>
    <cellStyle name="千位分隔 2 5" xfId="3736"/>
    <cellStyle name="千位分隔 2 5 2" xfId="3737"/>
    <cellStyle name="千位分隔 2 5 2 2" xfId="3738"/>
    <cellStyle name="千位分隔 2 5 2 2 2" xfId="8617"/>
    <cellStyle name="千位分隔 2 5 2 3" xfId="3739"/>
    <cellStyle name="千位分隔 2 5 2 3 2" xfId="5574"/>
    <cellStyle name="千位分隔 2 5 2 4" xfId="3740"/>
    <cellStyle name="千位分隔 2 5 2 4 2" xfId="5575"/>
    <cellStyle name="千位分隔 2 5 2 5" xfId="4704"/>
    <cellStyle name="千位分隔 2 5 3" xfId="3741"/>
    <cellStyle name="千位分隔 2 5 3 2" xfId="8618"/>
    <cellStyle name="千位分隔 2 5 4" xfId="3742"/>
    <cellStyle name="千位分隔 2 5 4 2" xfId="8619"/>
    <cellStyle name="千位分隔 2 5 5" xfId="3743"/>
    <cellStyle name="千位分隔 2 5 5 2" xfId="5576"/>
    <cellStyle name="千位分隔 2 5 6" xfId="4703"/>
    <cellStyle name="千位分隔 2 6" xfId="3744"/>
    <cellStyle name="千位分隔 2 6 2" xfId="3745"/>
    <cellStyle name="千位分隔 2 6 2 2" xfId="8620"/>
    <cellStyle name="千位分隔 2 6 3" xfId="3746"/>
    <cellStyle name="千位分隔 2 6 3 2" xfId="9081"/>
    <cellStyle name="千位分隔 2 6 4" xfId="3747"/>
    <cellStyle name="千位分隔 2 6 4 2" xfId="5577"/>
    <cellStyle name="千位分隔 2 6 5" xfId="4705"/>
    <cellStyle name="千位分隔 2 7" xfId="3748"/>
    <cellStyle name="千位分隔 2 7 2" xfId="4706"/>
    <cellStyle name="千位分隔 2 7 2 2" xfId="8095"/>
    <cellStyle name="千位分隔 2 8" xfId="3749"/>
    <cellStyle name="千位分隔 2 8 2" xfId="8094"/>
    <cellStyle name="千位分隔 2 9" xfId="4682"/>
    <cellStyle name="千位分隔 3" xfId="3750"/>
    <cellStyle name="千位分隔 3 2" xfId="3751"/>
    <cellStyle name="千位分隔 3 2 2" xfId="3752"/>
    <cellStyle name="千位分隔 3 2 2 2" xfId="3753"/>
    <cellStyle name="千位分隔 3 2 2 2 2" xfId="5578"/>
    <cellStyle name="千位分隔 3 2 2 3" xfId="4709"/>
    <cellStyle name="千位分隔 3 2 3" xfId="3754"/>
    <cellStyle name="千位分隔 3 2 3 2" xfId="9079"/>
    <cellStyle name="千位分隔 3 2 4" xfId="4708"/>
    <cellStyle name="千位分隔 3 3" xfId="3755"/>
    <cellStyle name="千位分隔 3 3 2" xfId="3756"/>
    <cellStyle name="千位分隔 3 3 2 2" xfId="9080"/>
    <cellStyle name="千位分隔 3 3 3" xfId="4710"/>
    <cellStyle name="千位分隔 3 4" xfId="3757"/>
    <cellStyle name="千位分隔 3 4 2" xfId="4711"/>
    <cellStyle name="千位分隔 3 5" xfId="3758"/>
    <cellStyle name="千位分隔 3 5 2" xfId="5579"/>
    <cellStyle name="千位分隔 3 6" xfId="4707"/>
    <cellStyle name="千位分隔 4" xfId="3759"/>
    <cellStyle name="千位分隔 4 2" xfId="3760"/>
    <cellStyle name="千位分隔 4 2 2" xfId="5580"/>
    <cellStyle name="千位分隔 4 3" xfId="3761"/>
    <cellStyle name="千位分隔 4 3 2" xfId="9923"/>
    <cellStyle name="千位分隔 4 4" xfId="4712"/>
    <cellStyle name="千位分隔 5" xfId="3762"/>
    <cellStyle name="千位分隔 5 2" xfId="4713"/>
    <cellStyle name="千位分隔 6" xfId="3763"/>
    <cellStyle name="千位分隔 6 2" xfId="9077"/>
    <cellStyle name="千位分隔 7" xfId="4681"/>
    <cellStyle name="强调文字颜色 1 2" xfId="3764"/>
    <cellStyle name="强调文字颜色 1 2 2" xfId="3765"/>
    <cellStyle name="强调文字颜色 1 2 2 2" xfId="3766"/>
    <cellStyle name="强调文字颜色 1 2 2 2 2" xfId="3767"/>
    <cellStyle name="强调文字颜色 1 2 2 2 2 2" xfId="3768"/>
    <cellStyle name="强调文字颜色 1 2 2 2 2 2 2" xfId="5581"/>
    <cellStyle name="强调文字颜色 1 2 2 2 2 3" xfId="4717"/>
    <cellStyle name="强调文字颜色 1 2 2 2 2 3 2" xfId="7490"/>
    <cellStyle name="强调文字颜色 1 2 2 2 2 4" xfId="8091"/>
    <cellStyle name="强调文字颜色 1 2 2 2 3" xfId="3769"/>
    <cellStyle name="强调文字颜色 1 2 2 2 3 2" xfId="9876"/>
    <cellStyle name="强调文字颜色 1 2 2 2 4" xfId="3770"/>
    <cellStyle name="强调文字颜色 1 2 2 2 4 2" xfId="5582"/>
    <cellStyle name="强调文字颜色 1 2 2 2 5" xfId="3771"/>
    <cellStyle name="强调文字颜色 1 2 2 2 5 2" xfId="9875"/>
    <cellStyle name="强调文字颜色 1 2 2 2 6" xfId="4716"/>
    <cellStyle name="强调文字颜色 1 2 2 2 6 2" xfId="7489"/>
    <cellStyle name="强调文字颜色 1 2 2 2 7" xfId="8092"/>
    <cellStyle name="强调文字颜色 1 2 2 3" xfId="3772"/>
    <cellStyle name="强调文字颜色 1 2 2 3 2" xfId="3773"/>
    <cellStyle name="强调文字颜色 1 2 2 3 2 2" xfId="9075"/>
    <cellStyle name="强调文字颜色 1 2 2 3 3" xfId="3774"/>
    <cellStyle name="强调文字颜色 1 2 2 3 3 2" xfId="9874"/>
    <cellStyle name="强调文字颜色 1 2 2 3 4" xfId="3775"/>
    <cellStyle name="强调文字颜色 1 2 2 3 4 2" xfId="9076"/>
    <cellStyle name="强调文字颜色 1 2 2 3 5" xfId="4718"/>
    <cellStyle name="强调文字颜色 1 2 2 3 5 2" xfId="7491"/>
    <cellStyle name="强调文字颜色 1 2 2 3 6" xfId="8090"/>
    <cellStyle name="强调文字颜色 1 2 2 4" xfId="3776"/>
    <cellStyle name="强调文字颜色 1 2 2 4 2" xfId="7492"/>
    <cellStyle name="强调文字颜色 1 2 2 5" xfId="3777"/>
    <cellStyle name="强调文字颜色 1 2 2 5 2" xfId="8089"/>
    <cellStyle name="强调文字颜色 1 2 2 6" xfId="3778"/>
    <cellStyle name="强调文字颜色 1 2 2 6 2" xfId="5583"/>
    <cellStyle name="强调文字颜色 1 2 2 7" xfId="3779"/>
    <cellStyle name="强调文字颜色 1 2 2 7 2" xfId="5584"/>
    <cellStyle name="强调文字颜色 1 2 2 8" xfId="4715"/>
    <cellStyle name="强调文字颜色 1 2 2 8 2" xfId="7488"/>
    <cellStyle name="强调文字颜色 1 2 2 9" xfId="8093"/>
    <cellStyle name="强调文字颜色 1 2 3" xfId="3780"/>
    <cellStyle name="强调文字颜色 1 2 3 2" xfId="3781"/>
    <cellStyle name="强调文字颜色 1 2 3 2 2" xfId="3782"/>
    <cellStyle name="强调文字颜色 1 2 3 2 2 2" xfId="3783"/>
    <cellStyle name="强调文字颜色 1 2 3 2 2 2 2" xfId="5585"/>
    <cellStyle name="强调文字颜色 1 2 3 2 2 3" xfId="4721"/>
    <cellStyle name="强调文字颜色 1 2 3 2 2 4" xfId="9924"/>
    <cellStyle name="强调文字颜色 1 2 3 2 3" xfId="3784"/>
    <cellStyle name="强调文字颜色 1 2 3 2 3 2" xfId="9074"/>
    <cellStyle name="强调文字颜色 1 2 3 2 4" xfId="3785"/>
    <cellStyle name="强调文字颜色 1 2 3 2 4 2" xfId="9873"/>
    <cellStyle name="强调文字颜色 1 2 3 2 5" xfId="4720"/>
    <cellStyle name="强调文字颜色 1 2 3 2 5 2" xfId="7494"/>
    <cellStyle name="强调文字颜色 1 2 3 2 6" xfId="8087"/>
    <cellStyle name="强调文字颜色 1 2 3 3" xfId="3786"/>
    <cellStyle name="强调文字颜色 1 2 3 3 2" xfId="3787"/>
    <cellStyle name="强调文字颜色 1 2 3 3 2 2" xfId="5587"/>
    <cellStyle name="强调文字颜色 1 2 3 3 3" xfId="4722"/>
    <cellStyle name="强调文字颜色 1 2 3 3 4" xfId="5586"/>
    <cellStyle name="强调文字颜色 1 2 3 4" xfId="3788"/>
    <cellStyle name="强调文字颜色 1 2 3 4 2" xfId="9070"/>
    <cellStyle name="强调文字颜色 1 2 3 5" xfId="3789"/>
    <cellStyle name="强调文字颜色 1 2 3 5 2" xfId="5588"/>
    <cellStyle name="强调文字颜色 1 2 3 6" xfId="3790"/>
    <cellStyle name="强调文字颜色 1 2 3 6 2" xfId="9925"/>
    <cellStyle name="强调文字颜色 1 2 3 7" xfId="4719"/>
    <cellStyle name="强调文字颜色 1 2 3 7 2" xfId="7493"/>
    <cellStyle name="强调文字颜色 1 2 3 8" xfId="8088"/>
    <cellStyle name="强调文字颜色 1 2 4" xfId="3791"/>
    <cellStyle name="强调文字颜色 1 2 4 2" xfId="3792"/>
    <cellStyle name="强调文字颜色 1 2 4 2 2" xfId="9073"/>
    <cellStyle name="强调文字颜色 1 2 4 3" xfId="3793"/>
    <cellStyle name="强调文字颜色 1 2 4 3 2" xfId="5590"/>
    <cellStyle name="强调文字颜色 1 2 4 4" xfId="4723"/>
    <cellStyle name="强调文字颜色 1 2 4 5" xfId="5589"/>
    <cellStyle name="强调文字颜色 1 2 5" xfId="3794"/>
    <cellStyle name="强调文字颜色 1 2 5 2" xfId="4724"/>
    <cellStyle name="强调文字颜色 1 2 5 3" xfId="5591"/>
    <cellStyle name="强调文字颜色 1 2 6" xfId="3795"/>
    <cellStyle name="强调文字颜色 1 2 6 2" xfId="8086"/>
    <cellStyle name="强调文字颜色 1 2 7" xfId="3796"/>
    <cellStyle name="强调文字颜色 1 2 7 2" xfId="8085"/>
    <cellStyle name="强调文字颜色 1 2 8" xfId="3797"/>
    <cellStyle name="强调文字颜色 1 2 8 2" xfId="5592"/>
    <cellStyle name="强调文字颜色 1 2 9" xfId="4714"/>
    <cellStyle name="强调文字颜色 1 2 9 2" xfId="7487"/>
    <cellStyle name="强调文字颜色 1 3" xfId="3798"/>
    <cellStyle name="强调文字颜色 1 3 2" xfId="3799"/>
    <cellStyle name="强调文字颜色 1 3 2 2" xfId="3800"/>
    <cellStyle name="强调文字颜色 1 3 2 2 2" xfId="5594"/>
    <cellStyle name="强调文字颜色 1 3 2 3" xfId="4726"/>
    <cellStyle name="强调文字颜色 1 3 2 4" xfId="5593"/>
    <cellStyle name="强调文字颜色 1 3 3" xfId="3801"/>
    <cellStyle name="强调文字颜色 1 3 3 2" xfId="4727"/>
    <cellStyle name="强调文字颜色 1 3 3 2 2" xfId="7495"/>
    <cellStyle name="强调文字颜色 1 3 4" xfId="3802"/>
    <cellStyle name="强调文字颜色 1 3 4 2" xfId="5595"/>
    <cellStyle name="强调文字颜色 1 3 5" xfId="4725"/>
    <cellStyle name="强调文字颜色 1 4" xfId="3803"/>
    <cellStyle name="强调文字颜色 1 4 2" xfId="4728"/>
    <cellStyle name="强调文字颜色 1 4 3" xfId="9926"/>
    <cellStyle name="强调文字颜色 2 2" xfId="3804"/>
    <cellStyle name="强调文字颜色 2 2 2" xfId="3805"/>
    <cellStyle name="强调文字颜色 2 2 2 2" xfId="3806"/>
    <cellStyle name="强调文字颜色 2 2 2 2 2" xfId="3807"/>
    <cellStyle name="强调文字颜色 2 2 2 2 2 2" xfId="3808"/>
    <cellStyle name="强调文字颜色 2 2 2 2 2 2 2" xfId="9071"/>
    <cellStyle name="强调文字颜色 2 2 2 2 2 3" xfId="4732"/>
    <cellStyle name="强调文字颜色 2 2 2 2 2 3 2" xfId="7499"/>
    <cellStyle name="强调文字颜色 2 2 2 2 2 4" xfId="8082"/>
    <cellStyle name="强调文字颜色 2 2 2 2 3" xfId="3809"/>
    <cellStyle name="强调文字颜色 2 2 2 2 3 2" xfId="5596"/>
    <cellStyle name="强调文字颜色 2 2 2 2 4" xfId="3810"/>
    <cellStyle name="强调文字颜色 2 2 2 2 4 2" xfId="5597"/>
    <cellStyle name="强调文字颜色 2 2 2 2 5" xfId="3811"/>
    <cellStyle name="强调文字颜色 2 2 2 2 5 2" xfId="9072"/>
    <cellStyle name="强调文字颜色 2 2 2 2 6" xfId="4731"/>
    <cellStyle name="强调文字颜色 2 2 2 2 6 2" xfId="7498"/>
    <cellStyle name="强调文字颜色 2 2 2 2 7" xfId="8083"/>
    <cellStyle name="强调文字颜色 2 2 2 3" xfId="3812"/>
    <cellStyle name="强调文字颜色 2 2 2 3 2" xfId="3813"/>
    <cellStyle name="强调文字颜色 2 2 2 3 2 2" xfId="5598"/>
    <cellStyle name="强调文字颜色 2 2 2 3 3" xfId="3814"/>
    <cellStyle name="强调文字颜色 2 2 2 3 3 2" xfId="5599"/>
    <cellStyle name="强调文字颜色 2 2 2 3 4" xfId="3815"/>
    <cellStyle name="强调文字颜色 2 2 2 3 4 2" xfId="5600"/>
    <cellStyle name="强调文字颜色 2 2 2 3 5" xfId="4733"/>
    <cellStyle name="强调文字颜色 2 2 2 3 5 2" xfId="7500"/>
    <cellStyle name="强调文字颜色 2 2 2 3 6" xfId="8081"/>
    <cellStyle name="强调文字颜色 2 2 2 4" xfId="3816"/>
    <cellStyle name="强调文字颜色 2 2 2 4 2" xfId="7501"/>
    <cellStyle name="强调文字颜色 2 2 2 5" xfId="3817"/>
    <cellStyle name="强调文字颜色 2 2 2 5 2" xfId="8080"/>
    <cellStyle name="强调文字颜色 2 2 2 6" xfId="3818"/>
    <cellStyle name="强调文字颜色 2 2 2 6 2" xfId="9927"/>
    <cellStyle name="强调文字颜色 2 2 2 7" xfId="3819"/>
    <cellStyle name="强调文字颜色 2 2 2 7 2" xfId="5601"/>
    <cellStyle name="强调文字颜色 2 2 2 8" xfId="4730"/>
    <cellStyle name="强调文字颜色 2 2 2 8 2" xfId="7497"/>
    <cellStyle name="强调文字颜色 2 2 2 9" xfId="8084"/>
    <cellStyle name="强调文字颜色 2 2 3" xfId="3820"/>
    <cellStyle name="强调文字颜色 2 2 3 2" xfId="3821"/>
    <cellStyle name="强调文字颜色 2 2 3 2 2" xfId="3822"/>
    <cellStyle name="强调文字颜色 2 2 3 2 2 2" xfId="3823"/>
    <cellStyle name="强调文字颜色 2 2 3 2 2 2 2" xfId="9068"/>
    <cellStyle name="强调文字颜色 2 2 3 2 2 3" xfId="4736"/>
    <cellStyle name="强调文字颜色 2 2 3 2 2 4" xfId="5602"/>
    <cellStyle name="强调文字颜色 2 2 3 2 3" xfId="3824"/>
    <cellStyle name="强调文字颜色 2 2 3 2 3 2" xfId="5603"/>
    <cellStyle name="强调文字颜色 2 2 3 2 4" xfId="3825"/>
    <cellStyle name="强调文字颜色 2 2 3 2 4 2" xfId="5604"/>
    <cellStyle name="强调文字颜色 2 2 3 2 5" xfId="4735"/>
    <cellStyle name="强调文字颜色 2 2 3 2 5 2" xfId="7503"/>
    <cellStyle name="强调文字颜色 2 2 3 2 6" xfId="8078"/>
    <cellStyle name="强调文字颜色 2 2 3 3" xfId="3826"/>
    <cellStyle name="强调文字颜色 2 2 3 3 2" xfId="3827"/>
    <cellStyle name="强调文字颜色 2 2 3 3 2 2" xfId="5605"/>
    <cellStyle name="强调文字颜色 2 2 3 3 3" xfId="4737"/>
    <cellStyle name="强调文字颜色 2 2 3 3 4" xfId="9069"/>
    <cellStyle name="强调文字颜色 2 2 3 4" xfId="3828"/>
    <cellStyle name="强调文字颜色 2 2 3 4 2" xfId="5606"/>
    <cellStyle name="强调文字颜色 2 2 3 5" xfId="3829"/>
    <cellStyle name="强调文字颜色 2 2 3 5 2" xfId="9065"/>
    <cellStyle name="强调文字颜色 2 2 3 6" xfId="3830"/>
    <cellStyle name="强调文字颜色 2 2 3 6 2" xfId="5607"/>
    <cellStyle name="强调文字颜色 2 2 3 7" xfId="4734"/>
    <cellStyle name="强调文字颜色 2 2 3 7 2" xfId="7502"/>
    <cellStyle name="强调文字颜色 2 2 3 8" xfId="8079"/>
    <cellStyle name="强调文字颜色 2 2 4" xfId="3831"/>
    <cellStyle name="强调文字颜色 2 2 4 2" xfId="3832"/>
    <cellStyle name="强调文字颜色 2 2 4 2 2" xfId="5608"/>
    <cellStyle name="强调文字颜色 2 2 4 3" xfId="3833"/>
    <cellStyle name="强调文字颜色 2 2 4 3 2" xfId="9067"/>
    <cellStyle name="强调文字颜色 2 2 4 4" xfId="4738"/>
    <cellStyle name="强调文字颜色 2 2 4 5" xfId="9928"/>
    <cellStyle name="强调文字颜色 2 2 5" xfId="3834"/>
    <cellStyle name="强调文字颜色 2 2 5 2" xfId="4739"/>
    <cellStyle name="强调文字颜色 2 2 5 3" xfId="5609"/>
    <cellStyle name="强调文字颜色 2 2 6" xfId="3835"/>
    <cellStyle name="强调文字颜色 2 2 6 2" xfId="8077"/>
    <cellStyle name="强调文字颜色 2 2 7" xfId="3836"/>
    <cellStyle name="强调文字颜色 2 2 7 2" xfId="8076"/>
    <cellStyle name="强调文字颜色 2 2 8" xfId="3837"/>
    <cellStyle name="强调文字颜色 2 2 8 2" xfId="5610"/>
    <cellStyle name="强调文字颜色 2 2 9" xfId="4729"/>
    <cellStyle name="强调文字颜色 2 2 9 2" xfId="7496"/>
    <cellStyle name="强调文字颜色 2 3" xfId="3838"/>
    <cellStyle name="强调文字颜色 2 3 2" xfId="3839"/>
    <cellStyle name="强调文字颜色 2 3 2 2" xfId="3840"/>
    <cellStyle name="强调文字颜色 2 3 2 2 2" xfId="5611"/>
    <cellStyle name="强调文字颜色 2 3 2 3" xfId="4741"/>
    <cellStyle name="强调文字颜色 2 3 2 4" xfId="9066"/>
    <cellStyle name="强调文字颜色 2 3 3" xfId="3841"/>
    <cellStyle name="强调文字颜色 2 3 3 2" xfId="4742"/>
    <cellStyle name="强调文字颜色 2 3 3 2 2" xfId="7504"/>
    <cellStyle name="强调文字颜色 2 3 4" xfId="3842"/>
    <cellStyle name="强调文字颜色 2 3 4 2" xfId="5612"/>
    <cellStyle name="强调文字颜色 2 3 5" xfId="4740"/>
    <cellStyle name="强调文字颜色 2 4" xfId="3843"/>
    <cellStyle name="强调文字颜色 2 4 2" xfId="4743"/>
    <cellStyle name="强调文字颜色 2 4 3" xfId="5613"/>
    <cellStyle name="强调文字颜色 3 2" xfId="3844"/>
    <cellStyle name="强调文字颜色 3 2 2" xfId="3845"/>
    <cellStyle name="强调文字颜色 3 2 2 2" xfId="3846"/>
    <cellStyle name="强调文字颜色 3 2 2 2 2" xfId="3847"/>
    <cellStyle name="强调文字颜色 3 2 2 2 2 2" xfId="3848"/>
    <cellStyle name="强调文字颜色 3 2 2 2 2 2 2" xfId="9064"/>
    <cellStyle name="强调文字颜色 3 2 2 2 2 3" xfId="4747"/>
    <cellStyle name="强调文字颜色 3 2 2 2 2 3 2" xfId="7508"/>
    <cellStyle name="强调文字颜色 3 2 2 2 2 4" xfId="8073"/>
    <cellStyle name="强调文字颜色 3 2 2 2 3" xfId="3849"/>
    <cellStyle name="强调文字颜色 3 2 2 2 3 2" xfId="5614"/>
    <cellStyle name="强调文字颜色 3 2 2 2 4" xfId="3850"/>
    <cellStyle name="强调文字颜色 3 2 2 2 4 2" xfId="5615"/>
    <cellStyle name="强调文字颜色 3 2 2 2 5" xfId="3851"/>
    <cellStyle name="强调文字颜色 3 2 2 2 5 2" xfId="9062"/>
    <cellStyle name="强调文字颜色 3 2 2 2 6" xfId="4746"/>
    <cellStyle name="强调文字颜色 3 2 2 2 6 2" xfId="7507"/>
    <cellStyle name="强调文字颜色 3 2 2 2 7" xfId="8074"/>
    <cellStyle name="强调文字颜色 3 2 2 3" xfId="3852"/>
    <cellStyle name="强调文字颜色 3 2 2 3 2" xfId="3853"/>
    <cellStyle name="强调文字颜色 3 2 2 3 2 2" xfId="5616"/>
    <cellStyle name="强调文字颜色 3 2 2 3 3" xfId="3854"/>
    <cellStyle name="强调文字颜色 3 2 2 3 3 2" xfId="9063"/>
    <cellStyle name="强调文字颜色 3 2 2 3 4" xfId="3855"/>
    <cellStyle name="强调文字颜色 3 2 2 3 4 2" xfId="5617"/>
    <cellStyle name="强调文字颜色 3 2 2 3 5" xfId="4748"/>
    <cellStyle name="强调文字颜色 3 2 2 3 5 2" xfId="7509"/>
    <cellStyle name="强调文字颜色 3 2 2 3 6" xfId="8072"/>
    <cellStyle name="强调文字颜色 3 2 2 4" xfId="3856"/>
    <cellStyle name="强调文字颜色 3 2 2 4 2" xfId="7510"/>
    <cellStyle name="强调文字颜色 3 2 2 5" xfId="3857"/>
    <cellStyle name="强调文字颜色 3 2 2 5 2" xfId="8071"/>
    <cellStyle name="强调文字颜色 3 2 2 6" xfId="3858"/>
    <cellStyle name="强调文字颜色 3 2 2 6 2" xfId="5618"/>
    <cellStyle name="强调文字颜色 3 2 2 7" xfId="3859"/>
    <cellStyle name="强调文字颜色 3 2 2 7 2" xfId="9929"/>
    <cellStyle name="强调文字颜色 3 2 2 8" xfId="4745"/>
    <cellStyle name="强调文字颜色 3 2 2 8 2" xfId="7506"/>
    <cellStyle name="强调文字颜色 3 2 2 9" xfId="8075"/>
    <cellStyle name="强调文字颜色 3 2 3" xfId="3860"/>
    <cellStyle name="强调文字颜色 3 2 3 2" xfId="3861"/>
    <cellStyle name="强调文字颜色 3 2 3 2 2" xfId="3862"/>
    <cellStyle name="强调文字颜色 3 2 3 2 2 2" xfId="3863"/>
    <cellStyle name="强调文字颜色 3 2 3 2 2 2 2" xfId="5620"/>
    <cellStyle name="强调文字颜色 3 2 3 2 2 3" xfId="4751"/>
    <cellStyle name="强调文字颜色 3 2 3 2 2 4" xfId="5619"/>
    <cellStyle name="强调文字颜色 3 2 3 2 3" xfId="3864"/>
    <cellStyle name="强调文字颜色 3 2 3 2 3 2" xfId="9060"/>
    <cellStyle name="强调文字颜色 3 2 3 2 4" xfId="3865"/>
    <cellStyle name="强调文字颜色 3 2 3 2 4 2" xfId="5621"/>
    <cellStyle name="强调文字颜色 3 2 3 2 5" xfId="4750"/>
    <cellStyle name="强调文字颜色 3 2 3 2 5 2" xfId="7512"/>
    <cellStyle name="强调文字颜色 3 2 3 2 6" xfId="8069"/>
    <cellStyle name="强调文字颜色 3 2 3 3" xfId="3866"/>
    <cellStyle name="强调文字颜色 3 2 3 3 2" xfId="3867"/>
    <cellStyle name="强调文字颜色 3 2 3 3 2 2" xfId="9061"/>
    <cellStyle name="强调文字颜色 3 2 3 3 3" xfId="4752"/>
    <cellStyle name="强调文字颜色 3 2 3 3 4" xfId="5622"/>
    <cellStyle name="强调文字颜色 3 2 3 4" xfId="3868"/>
    <cellStyle name="强调文字颜色 3 2 3 4 2" xfId="5623"/>
    <cellStyle name="强调文字颜色 3 2 3 5" xfId="3869"/>
    <cellStyle name="强调文字颜色 3 2 3 5 2" xfId="5624"/>
    <cellStyle name="强调文字颜色 3 2 3 6" xfId="3870"/>
    <cellStyle name="强调文字颜色 3 2 3 6 2" xfId="5625"/>
    <cellStyle name="强调文字颜色 3 2 3 7" xfId="4749"/>
    <cellStyle name="强调文字颜色 3 2 3 7 2" xfId="7511"/>
    <cellStyle name="强调文字颜色 3 2 3 8" xfId="8070"/>
    <cellStyle name="强调文字颜色 3 2 4" xfId="3871"/>
    <cellStyle name="强调文字颜色 3 2 4 2" xfId="3872"/>
    <cellStyle name="强调文字颜色 3 2 4 2 2" xfId="9058"/>
    <cellStyle name="强调文字颜色 3 2 4 3" xfId="3873"/>
    <cellStyle name="强调文字颜色 3 2 4 3 2" xfId="9866"/>
    <cellStyle name="强调文字颜色 3 2 4 4" xfId="4753"/>
    <cellStyle name="强调文字颜色 3 2 4 5" xfId="5626"/>
    <cellStyle name="强调文字颜色 3 2 5" xfId="3874"/>
    <cellStyle name="强调文字颜色 3 2 5 2" xfId="4754"/>
    <cellStyle name="强调文字颜色 3 2 5 3" xfId="9059"/>
    <cellStyle name="强调文字颜色 3 2 6" xfId="3875"/>
    <cellStyle name="强调文字颜色 3 2 6 2" xfId="8068"/>
    <cellStyle name="强调文字颜色 3 2 7" xfId="3876"/>
    <cellStyle name="强调文字颜色 3 2 7 2" xfId="8067"/>
    <cellStyle name="强调文字颜色 3 2 8" xfId="3877"/>
    <cellStyle name="强调文字颜色 3 2 8 2" xfId="9056"/>
    <cellStyle name="强调文字颜色 3 2 9" xfId="4744"/>
    <cellStyle name="强调文字颜色 3 2 9 2" xfId="7505"/>
    <cellStyle name="强调文字颜色 3 3" xfId="3878"/>
    <cellStyle name="强调文字颜色 3 3 2" xfId="3879"/>
    <cellStyle name="强调文字颜色 3 3 2 2" xfId="3880"/>
    <cellStyle name="强调文字颜色 3 3 2 2 2" xfId="9865"/>
    <cellStyle name="强调文字颜色 3 3 2 3" xfId="4756"/>
    <cellStyle name="强调文字颜色 3 3 2 4" xfId="5627"/>
    <cellStyle name="强调文字颜色 3 3 3" xfId="3881"/>
    <cellStyle name="强调文字颜色 3 3 3 2" xfId="4757"/>
    <cellStyle name="强调文字颜色 3 3 3 2 2" xfId="7513"/>
    <cellStyle name="强调文字颜色 3 3 4" xfId="3882"/>
    <cellStyle name="强调文字颜色 3 3 4 2" xfId="9057"/>
    <cellStyle name="强调文字颜色 3 3 5" xfId="4755"/>
    <cellStyle name="强调文字颜色 3 4" xfId="3883"/>
    <cellStyle name="强调文字颜色 3 4 2" xfId="4758"/>
    <cellStyle name="强调文字颜色 3 4 3" xfId="5628"/>
    <cellStyle name="强调文字颜色 4 2" xfId="3884"/>
    <cellStyle name="强调文字颜色 4 2 2" xfId="3885"/>
    <cellStyle name="强调文字颜色 4 2 2 2" xfId="3886"/>
    <cellStyle name="强调文字颜色 4 2 2 2 2" xfId="3887"/>
    <cellStyle name="强调文字颜色 4 2 2 2 2 2" xfId="3888"/>
    <cellStyle name="强调文字颜色 4 2 2 2 2 2 2" xfId="5629"/>
    <cellStyle name="强调文字颜色 4 2 2 2 2 3" xfId="4762"/>
    <cellStyle name="强调文字颜色 4 2 2 2 2 3 2" xfId="7517"/>
    <cellStyle name="强调文字颜色 4 2 2 2 2 4" xfId="8064"/>
    <cellStyle name="强调文字颜色 4 2 2 2 3" xfId="3889"/>
    <cellStyle name="强调文字颜色 4 2 2 2 3 2" xfId="9055"/>
    <cellStyle name="强调文字颜色 4 2 2 2 4" xfId="3890"/>
    <cellStyle name="强调文字颜色 4 2 2 2 4 2" xfId="5630"/>
    <cellStyle name="强调文字颜色 4 2 2 2 5" xfId="3891"/>
    <cellStyle name="强调文字颜色 4 2 2 2 5 2" xfId="5631"/>
    <cellStyle name="强调文字颜色 4 2 2 2 6" xfId="4761"/>
    <cellStyle name="强调文字颜色 4 2 2 2 6 2" xfId="7516"/>
    <cellStyle name="强调文字颜色 4 2 2 2 7" xfId="8065"/>
    <cellStyle name="强调文字颜色 4 2 2 3" xfId="3892"/>
    <cellStyle name="强调文字颜色 4 2 2 3 2" xfId="3893"/>
    <cellStyle name="强调文字颜色 4 2 2 3 2 2" xfId="5632"/>
    <cellStyle name="强调文字颜色 4 2 2 3 3" xfId="3894"/>
    <cellStyle name="强调文字颜色 4 2 2 3 3 2" xfId="5633"/>
    <cellStyle name="强调文字颜色 4 2 2 3 4" xfId="3895"/>
    <cellStyle name="强调文字颜色 4 2 2 3 4 2" xfId="5634"/>
    <cellStyle name="强调文字颜色 4 2 2 3 5" xfId="4763"/>
    <cellStyle name="强调文字颜色 4 2 2 3 5 2" xfId="7518"/>
    <cellStyle name="强调文字颜色 4 2 2 3 6" xfId="8063"/>
    <cellStyle name="强调文字颜色 4 2 2 4" xfId="3896"/>
    <cellStyle name="强调文字颜色 4 2 2 4 2" xfId="7519"/>
    <cellStyle name="强调文字颜色 4 2 2 5" xfId="3897"/>
    <cellStyle name="强调文字颜色 4 2 2 5 2" xfId="8062"/>
    <cellStyle name="强调文字颜色 4 2 2 6" xfId="3898"/>
    <cellStyle name="强调文字颜色 4 2 2 6 2" xfId="9864"/>
    <cellStyle name="强调文字颜色 4 2 2 7" xfId="3899"/>
    <cellStyle name="强调文字颜色 4 2 2 7 2" xfId="5635"/>
    <cellStyle name="强调文字颜色 4 2 2 8" xfId="4760"/>
    <cellStyle name="强调文字颜色 4 2 2 8 2" xfId="7515"/>
    <cellStyle name="强调文字颜色 4 2 2 9" xfId="8066"/>
    <cellStyle name="强调文字颜色 4 2 3" xfId="3900"/>
    <cellStyle name="强调文字颜色 4 2 3 2" xfId="3901"/>
    <cellStyle name="强调文字颜色 4 2 3 2 2" xfId="3902"/>
    <cellStyle name="强调文字颜色 4 2 3 2 2 2" xfId="3903"/>
    <cellStyle name="强调文字颜色 4 2 3 2 2 2 2" xfId="9863"/>
    <cellStyle name="强调文字颜色 4 2 3 2 2 3" xfId="4766"/>
    <cellStyle name="强调文字颜色 4 2 3 2 2 4" xfId="9053"/>
    <cellStyle name="强调文字颜色 4 2 3 2 3" xfId="3904"/>
    <cellStyle name="强调文字颜色 4 2 3 2 3 2" xfId="9054"/>
    <cellStyle name="强调文字颜色 4 2 3 2 4" xfId="3905"/>
    <cellStyle name="强调文字颜色 4 2 3 2 4 2" xfId="5636"/>
    <cellStyle name="强调文字颜色 4 2 3 2 5" xfId="4765"/>
    <cellStyle name="强调文字颜色 4 2 3 2 5 2" xfId="7521"/>
    <cellStyle name="强调文字颜色 4 2 3 2 6" xfId="8060"/>
    <cellStyle name="强调文字颜色 4 2 3 3" xfId="3906"/>
    <cellStyle name="强调文字颜色 4 2 3 3 2" xfId="3907"/>
    <cellStyle name="强调文字颜色 4 2 3 3 2 2" xfId="5638"/>
    <cellStyle name="强调文字颜色 4 2 3 3 3" xfId="4767"/>
    <cellStyle name="强调文字颜色 4 2 3 3 4" xfId="5637"/>
    <cellStyle name="强调文字颜色 4 2 3 4" xfId="3908"/>
    <cellStyle name="强调文字颜色 4 2 3 4 2" xfId="9862"/>
    <cellStyle name="强调文字颜色 4 2 3 5" xfId="3909"/>
    <cellStyle name="强调文字颜色 4 2 3 5 2" xfId="8447"/>
    <cellStyle name="强调文字颜色 4 2 3 6" xfId="3910"/>
    <cellStyle name="强调文字颜色 4 2 3 6 2" xfId="5639"/>
    <cellStyle name="强调文字颜色 4 2 3 7" xfId="4764"/>
    <cellStyle name="强调文字颜色 4 2 3 7 2" xfId="7520"/>
    <cellStyle name="强调文字颜色 4 2 3 8" xfId="8061"/>
    <cellStyle name="强调文字颜色 4 2 4" xfId="3911"/>
    <cellStyle name="强调文字颜色 4 2 4 2" xfId="3912"/>
    <cellStyle name="强调文字颜色 4 2 4 2 2" xfId="9052"/>
    <cellStyle name="强调文字颜色 4 2 4 3" xfId="3913"/>
    <cellStyle name="强调文字颜色 4 2 4 3 2" xfId="5641"/>
    <cellStyle name="强调文字颜色 4 2 4 4" xfId="4768"/>
    <cellStyle name="强调文字颜色 4 2 4 5" xfId="5640"/>
    <cellStyle name="强调文字颜色 4 2 5" xfId="3914"/>
    <cellStyle name="强调文字颜色 4 2 5 2" xfId="4769"/>
    <cellStyle name="强调文字颜色 4 2 5 3" xfId="9051"/>
    <cellStyle name="强调文字颜色 4 2 6" xfId="3915"/>
    <cellStyle name="强调文字颜色 4 2 6 2" xfId="8059"/>
    <cellStyle name="强调文字颜色 4 2 7" xfId="3916"/>
    <cellStyle name="强调文字颜色 4 2 7 2" xfId="8058"/>
    <cellStyle name="强调文字颜色 4 2 8" xfId="3917"/>
    <cellStyle name="强调文字颜色 4 2 8 2" xfId="5642"/>
    <cellStyle name="强调文字颜色 4 2 9" xfId="4759"/>
    <cellStyle name="强调文字颜色 4 2 9 2" xfId="7514"/>
    <cellStyle name="强调文字颜色 4 3" xfId="3918"/>
    <cellStyle name="强调文字颜色 4 3 2" xfId="3919"/>
    <cellStyle name="强调文字颜色 4 3 2 2" xfId="3920"/>
    <cellStyle name="强调文字颜色 4 3 2 2 2" xfId="9930"/>
    <cellStyle name="强调文字颜色 4 3 2 3" xfId="4771"/>
    <cellStyle name="强调文字颜色 4 3 2 4" xfId="5643"/>
    <cellStyle name="强调文字颜色 4 3 3" xfId="3921"/>
    <cellStyle name="强调文字颜色 4 3 3 2" xfId="4772"/>
    <cellStyle name="强调文字颜色 4 3 3 2 2" xfId="7522"/>
    <cellStyle name="强调文字颜色 4 3 4" xfId="3922"/>
    <cellStyle name="强调文字颜色 4 3 4 2" xfId="9050"/>
    <cellStyle name="强调文字颜色 4 3 5" xfId="4770"/>
    <cellStyle name="强调文字颜色 4 4" xfId="3923"/>
    <cellStyle name="强调文字颜色 4 4 2" xfId="4773"/>
    <cellStyle name="强调文字颜色 4 4 3" xfId="9861"/>
    <cellStyle name="强调文字颜色 5 2" xfId="3924"/>
    <cellStyle name="强调文字颜色 5 2 2" xfId="3925"/>
    <cellStyle name="强调文字颜色 5 2 2 2" xfId="3926"/>
    <cellStyle name="强调文字颜色 5 2 2 2 2" xfId="3927"/>
    <cellStyle name="强调文字颜色 5 2 2 2 2 2" xfId="3928"/>
    <cellStyle name="强调文字颜色 5 2 2 2 2 2 2" xfId="5644"/>
    <cellStyle name="强调文字颜色 5 2 2 2 2 3" xfId="4777"/>
    <cellStyle name="强调文字颜色 5 2 2 2 2 3 2" xfId="7526"/>
    <cellStyle name="强调文字颜色 5 2 2 2 2 4" xfId="8055"/>
    <cellStyle name="强调文字颜色 5 2 2 2 3" xfId="3929"/>
    <cellStyle name="强调文字颜色 5 2 2 2 3 2" xfId="9860"/>
    <cellStyle name="强调文字颜色 5 2 2 2 4" xfId="3930"/>
    <cellStyle name="强调文字颜色 5 2 2 2 4 2" xfId="5645"/>
    <cellStyle name="强调文字颜色 5 2 2 2 5" xfId="3931"/>
    <cellStyle name="强调文字颜色 5 2 2 2 5 2" xfId="9859"/>
    <cellStyle name="强调文字颜色 5 2 2 2 6" xfId="4776"/>
    <cellStyle name="强调文字颜色 5 2 2 2 6 2" xfId="7525"/>
    <cellStyle name="强调文字颜色 5 2 2 2 7" xfId="8056"/>
    <cellStyle name="强调文字颜色 5 2 2 3" xfId="3932"/>
    <cellStyle name="强调文字颜色 5 2 2 3 2" xfId="3933"/>
    <cellStyle name="强调文字颜色 5 2 2 3 2 2" xfId="9048"/>
    <cellStyle name="强调文字颜色 5 2 2 3 3" xfId="3934"/>
    <cellStyle name="强调文字颜色 5 2 2 3 3 2" xfId="9858"/>
    <cellStyle name="强调文字颜色 5 2 2 3 4" xfId="3935"/>
    <cellStyle name="强调文字颜色 5 2 2 3 4 2" xfId="9049"/>
    <cellStyle name="强调文字颜色 5 2 2 3 5" xfId="4778"/>
    <cellStyle name="强调文字颜色 5 2 2 3 5 2" xfId="7527"/>
    <cellStyle name="强调文字颜色 5 2 2 3 6" xfId="8054"/>
    <cellStyle name="强调文字颜色 5 2 2 4" xfId="3936"/>
    <cellStyle name="强调文字颜色 5 2 2 4 2" xfId="7528"/>
    <cellStyle name="强调文字颜色 5 2 2 5" xfId="3937"/>
    <cellStyle name="强调文字颜色 5 2 2 5 2" xfId="8053"/>
    <cellStyle name="强调文字颜色 5 2 2 6" xfId="3938"/>
    <cellStyle name="强调文字颜色 5 2 2 6 2" xfId="5646"/>
    <cellStyle name="强调文字颜色 5 2 2 7" xfId="3939"/>
    <cellStyle name="强调文字颜色 5 2 2 7 2" xfId="9854"/>
    <cellStyle name="强调文字颜色 5 2 2 8" xfId="4775"/>
    <cellStyle name="强调文字颜色 5 2 2 8 2" xfId="7524"/>
    <cellStyle name="强调文字颜色 5 2 2 9" xfId="8057"/>
    <cellStyle name="强调文字颜色 5 2 3" xfId="3940"/>
    <cellStyle name="强调文字颜色 5 2 3 2" xfId="3941"/>
    <cellStyle name="强调文字颜色 5 2 3 2 2" xfId="3942"/>
    <cellStyle name="强调文字颜色 5 2 3 2 2 2" xfId="3943"/>
    <cellStyle name="强调文字颜色 5 2 3 2 2 2 2" xfId="9931"/>
    <cellStyle name="强调文字颜色 5 2 3 2 2 3" xfId="4781"/>
    <cellStyle name="强调文字颜色 5 2 3 2 2 4" xfId="5647"/>
    <cellStyle name="强调文字颜色 5 2 3 2 3" xfId="3944"/>
    <cellStyle name="强调文字颜色 5 2 3 2 3 2" xfId="5648"/>
    <cellStyle name="强调文字颜色 5 2 3 2 4" xfId="3945"/>
    <cellStyle name="强调文字颜色 5 2 3 2 4 2" xfId="9046"/>
    <cellStyle name="强调文字颜色 5 2 3 2 5" xfId="4780"/>
    <cellStyle name="强调文字颜色 5 2 3 2 5 2" xfId="7530"/>
    <cellStyle name="强调文字颜色 5 2 3 2 6" xfId="8051"/>
    <cellStyle name="强调文字颜色 5 2 3 3" xfId="3946"/>
    <cellStyle name="强调文字颜色 5 2 3 3 2" xfId="3947"/>
    <cellStyle name="强调文字颜色 5 2 3 3 2 2" xfId="9047"/>
    <cellStyle name="强调文字颜色 5 2 3 3 3" xfId="4782"/>
    <cellStyle name="强调文字颜色 5 2 3 3 4" xfId="9857"/>
    <cellStyle name="强调文字颜色 5 2 3 4" xfId="3948"/>
    <cellStyle name="强调文字颜色 5 2 3 4 2" xfId="8440"/>
    <cellStyle name="强调文字颜色 5 2 3 5" xfId="3949"/>
    <cellStyle name="强调文字颜色 5 2 3 5 2" xfId="9932"/>
    <cellStyle name="强调文字颜色 5 2 3 6" xfId="3950"/>
    <cellStyle name="强调文字颜色 5 2 3 6 2" xfId="9043"/>
    <cellStyle name="强调文字颜色 5 2 3 7" xfId="4779"/>
    <cellStyle name="强调文字颜色 5 2 3 7 2" xfId="7529"/>
    <cellStyle name="强调文字颜色 5 2 3 8" xfId="8052"/>
    <cellStyle name="强调文字颜色 5 2 4" xfId="3951"/>
    <cellStyle name="强调文字颜色 5 2 4 2" xfId="3952"/>
    <cellStyle name="强调文字颜色 5 2 4 2 2" xfId="9045"/>
    <cellStyle name="强调文字颜色 5 2 4 3" xfId="3953"/>
    <cellStyle name="强调文字颜色 5 2 4 3 2" xfId="9855"/>
    <cellStyle name="强调文字颜色 5 2 4 4" xfId="4783"/>
    <cellStyle name="强调文字颜色 5 2 4 5" xfId="9856"/>
    <cellStyle name="强调文字颜色 5 2 5" xfId="3954"/>
    <cellStyle name="强调文字颜色 5 2 5 2" xfId="4784"/>
    <cellStyle name="强调文字颜色 5 2 5 3" xfId="9044"/>
    <cellStyle name="强调文字颜色 5 2 6" xfId="3955"/>
    <cellStyle name="强调文字颜色 5 2 6 2" xfId="8050"/>
    <cellStyle name="强调文字颜色 5 2 7" xfId="3956"/>
    <cellStyle name="强调文字颜色 5 2 7 2" xfId="8049"/>
    <cellStyle name="强调文字颜色 5 2 8" xfId="3957"/>
    <cellStyle name="强调文字颜色 5 2 8 2" xfId="9933"/>
    <cellStyle name="强调文字颜色 5 2 9" xfId="4774"/>
    <cellStyle name="强调文字颜色 5 2 9 2" xfId="7523"/>
    <cellStyle name="强调文字颜色 5 3" xfId="3958"/>
    <cellStyle name="强调文字颜色 5 3 2" xfId="3959"/>
    <cellStyle name="强调文字颜色 5 3 2 2" xfId="3960"/>
    <cellStyle name="强调文字颜色 5 3 2 2 2" xfId="5650"/>
    <cellStyle name="强调文字颜色 5 3 2 3" xfId="4786"/>
    <cellStyle name="强调文字颜色 5 3 2 4" xfId="5649"/>
    <cellStyle name="强调文字颜色 5 3 3" xfId="3961"/>
    <cellStyle name="强调文字颜色 5 3 3 2" xfId="4787"/>
    <cellStyle name="强调文字颜色 5 3 3 2 2" xfId="7531"/>
    <cellStyle name="强调文字颜色 5 3 4" xfId="3962"/>
    <cellStyle name="强调文字颜色 5 3 4 2" xfId="5651"/>
    <cellStyle name="强调文字颜色 5 3 5" xfId="4785"/>
    <cellStyle name="强调文字颜色 5 4" xfId="3963"/>
    <cellStyle name="强调文字颜色 5 4 2" xfId="4788"/>
    <cellStyle name="强调文字颜色 5 4 3" xfId="9042"/>
    <cellStyle name="强调文字颜色 6 2" xfId="3964"/>
    <cellStyle name="强调文字颜色 6 2 2" xfId="3965"/>
    <cellStyle name="强调文字颜色 6 2 2 2" xfId="3966"/>
    <cellStyle name="强调文字颜色 6 2 2 2 2" xfId="3967"/>
    <cellStyle name="强调文字颜色 6 2 2 2 2 2" xfId="3968"/>
    <cellStyle name="强调文字颜色 6 2 2 2 2 2 2" xfId="5652"/>
    <cellStyle name="强调文字颜色 6 2 2 2 2 3" xfId="4792"/>
    <cellStyle name="强调文字颜色 6 2 2 2 2 3 2" xfId="7535"/>
    <cellStyle name="强调文字颜色 6 2 2 2 2 4" xfId="8046"/>
    <cellStyle name="强调文字颜色 6 2 2 2 3" xfId="3969"/>
    <cellStyle name="强调文字颜色 6 2 2 2 3 2" xfId="9934"/>
    <cellStyle name="强调文字颜色 6 2 2 2 4" xfId="3970"/>
    <cellStyle name="强调文字颜色 6 2 2 2 4 2" xfId="9852"/>
    <cellStyle name="强调文字颜色 6 2 2 2 5" xfId="3971"/>
    <cellStyle name="强调文字颜色 6 2 2 2 5 2" xfId="9935"/>
    <cellStyle name="强调文字颜色 6 2 2 2 6" xfId="4791"/>
    <cellStyle name="强调文字颜色 6 2 2 2 6 2" xfId="7534"/>
    <cellStyle name="强调文字颜色 6 2 2 2 7" xfId="8047"/>
    <cellStyle name="强调文字颜色 6 2 2 3" xfId="3972"/>
    <cellStyle name="强调文字颜色 6 2 2 3 2" xfId="3973"/>
    <cellStyle name="强调文字颜色 6 2 2 3 2 2" xfId="9936"/>
    <cellStyle name="强调文字颜色 6 2 2 3 3" xfId="3974"/>
    <cellStyle name="强调文字颜色 6 2 2 3 3 2" xfId="5653"/>
    <cellStyle name="强调文字颜色 6 2 2 3 4" xfId="3975"/>
    <cellStyle name="强调文字颜色 6 2 2 3 4 2" xfId="5654"/>
    <cellStyle name="强调文字颜色 6 2 2 3 5" xfId="4793"/>
    <cellStyle name="强调文字颜色 6 2 2 3 5 2" xfId="7536"/>
    <cellStyle name="强调文字颜色 6 2 2 3 6" xfId="8045"/>
    <cellStyle name="强调文字颜色 6 2 2 4" xfId="3976"/>
    <cellStyle name="强调文字颜色 6 2 2 4 2" xfId="7537"/>
    <cellStyle name="强调文字颜色 6 2 2 5" xfId="3977"/>
    <cellStyle name="强调文字颜色 6 2 2 5 2" xfId="8044"/>
    <cellStyle name="强调文字颜色 6 2 2 6" xfId="3978"/>
    <cellStyle name="强调文字颜色 6 2 2 6 2" xfId="5655"/>
    <cellStyle name="强调文字颜色 6 2 2 7" xfId="3979"/>
    <cellStyle name="强调文字颜色 6 2 2 7 2" xfId="9937"/>
    <cellStyle name="强调文字颜色 6 2 2 8" xfId="4790"/>
    <cellStyle name="强调文字颜色 6 2 2 8 2" xfId="7533"/>
    <cellStyle name="强调文字颜色 6 2 2 9" xfId="8048"/>
    <cellStyle name="强调文字颜色 6 2 3" xfId="3980"/>
    <cellStyle name="强调文字颜色 6 2 3 2" xfId="3981"/>
    <cellStyle name="强调文字颜色 6 2 3 2 2" xfId="3982"/>
    <cellStyle name="强调文字颜色 6 2 3 2 2 2" xfId="3983"/>
    <cellStyle name="强调文字颜色 6 2 3 2 2 2 2" xfId="9040"/>
    <cellStyle name="强调文字颜色 6 2 3 2 2 3" xfId="4796"/>
    <cellStyle name="强调文字颜色 6 2 3 2 2 4" xfId="9938"/>
    <cellStyle name="强调文字颜色 6 2 3 2 3" xfId="3984"/>
    <cellStyle name="强调文字颜色 6 2 3 2 3 2" xfId="5656"/>
    <cellStyle name="强调文字颜色 6 2 3 2 4" xfId="3985"/>
    <cellStyle name="强调文字颜色 6 2 3 2 4 2" xfId="5657"/>
    <cellStyle name="强调文字颜色 6 2 3 2 5" xfId="4795"/>
    <cellStyle name="强调文字颜色 6 2 3 2 5 2" xfId="7539"/>
    <cellStyle name="强调文字颜色 6 2 3 2 6" xfId="8042"/>
    <cellStyle name="强调文字颜色 6 2 3 3" xfId="3986"/>
    <cellStyle name="强调文字颜色 6 2 3 3 2" xfId="3987"/>
    <cellStyle name="强调文字颜色 6 2 3 3 2 2" xfId="9041"/>
    <cellStyle name="强调文字颜色 6 2 3 3 3" xfId="4797"/>
    <cellStyle name="强调文字颜色 6 2 3 3 4" xfId="9853"/>
    <cellStyle name="强调文字颜色 6 2 3 4" xfId="3988"/>
    <cellStyle name="强调文字颜色 6 2 3 4 2" xfId="5658"/>
    <cellStyle name="强调文字颜色 6 2 3 5" xfId="3989"/>
    <cellStyle name="强调文字颜色 6 2 3 5 2" xfId="5659"/>
    <cellStyle name="强调文字颜色 6 2 3 6" xfId="3990"/>
    <cellStyle name="强调文字颜色 6 2 3 6 2" xfId="9039"/>
    <cellStyle name="强调文字颜色 6 2 3 7" xfId="4794"/>
    <cellStyle name="强调文字颜色 6 2 3 7 2" xfId="7538"/>
    <cellStyle name="强调文字颜色 6 2 3 8" xfId="8043"/>
    <cellStyle name="强调文字颜色 6 2 4" xfId="3991"/>
    <cellStyle name="强调文字颜色 6 2 4 2" xfId="4798"/>
    <cellStyle name="强调文字颜色 6 2 4 3" xfId="5660"/>
    <cellStyle name="强调文字颜色 6 2 5" xfId="4799"/>
    <cellStyle name="强调文字颜色 6 2 5 2" xfId="8041"/>
    <cellStyle name="强调文字颜色 6 2 5 3" xfId="7532"/>
    <cellStyle name="强调文字颜色 6 2 6" xfId="4789"/>
    <cellStyle name="强调文字颜色 6 2 6 2" xfId="8040"/>
    <cellStyle name="强调文字颜色 6 2 7" xfId="8039"/>
    <cellStyle name="强调文字颜色 6 3" xfId="4800"/>
    <cellStyle name="强调文字颜色 6 3 2" xfId="4801"/>
    <cellStyle name="强调文字颜色 6 3 3" xfId="4802"/>
    <cellStyle name="强调文字颜色 6 3 3 2" xfId="7540"/>
    <cellStyle name="强调文字颜色 6 4" xfId="4803"/>
    <cellStyle name="适中 2" xfId="4804"/>
    <cellStyle name="适中 2 10" xfId="7542"/>
    <cellStyle name="适中 2 10 2" xfId="7543"/>
    <cellStyle name="适中 2 10 2 2" xfId="7544"/>
    <cellStyle name="适中 2 10 2 2 2" xfId="7545"/>
    <cellStyle name="适中 2 10 2 3" xfId="7546"/>
    <cellStyle name="适中 2 10 2 4" xfId="7547"/>
    <cellStyle name="适中 2 10 3" xfId="7548"/>
    <cellStyle name="适中 2 10 3 2" xfId="7549"/>
    <cellStyle name="适中 2 10 4" xfId="8038"/>
    <cellStyle name="适中 2 11" xfId="7550"/>
    <cellStyle name="适中 2 11 2" xfId="7551"/>
    <cellStyle name="适中 2 11 2 2" xfId="7552"/>
    <cellStyle name="适中 2 11 2 2 2" xfId="7553"/>
    <cellStyle name="适中 2 11 2 3" xfId="7554"/>
    <cellStyle name="适中 2 11 2 4" xfId="7555"/>
    <cellStyle name="适中 2 11 3" xfId="7556"/>
    <cellStyle name="适中 2 11 3 2" xfId="7557"/>
    <cellStyle name="适中 2 11 4" xfId="8037"/>
    <cellStyle name="适中 2 12" xfId="7558"/>
    <cellStyle name="适中 2 12 2" xfId="7559"/>
    <cellStyle name="适中 2 12 2 2" xfId="7560"/>
    <cellStyle name="适中 2 12 2 2 2" xfId="7561"/>
    <cellStyle name="适中 2 12 2 3" xfId="7562"/>
    <cellStyle name="适中 2 12 2 4" xfId="7563"/>
    <cellStyle name="适中 2 12 3" xfId="7564"/>
    <cellStyle name="适中 2 12 3 2" xfId="7565"/>
    <cellStyle name="适中 2 12 4" xfId="8036"/>
    <cellStyle name="适中 2 13" xfId="7566"/>
    <cellStyle name="适中 2 13 2" xfId="7567"/>
    <cellStyle name="适中 2 13 2 2" xfId="7568"/>
    <cellStyle name="适中 2 13 3" xfId="7569"/>
    <cellStyle name="适中 2 13 4" xfId="7570"/>
    <cellStyle name="适中 2 13 5" xfId="8035"/>
    <cellStyle name="适中 2 14" xfId="7571"/>
    <cellStyle name="适中 2 14 2" xfId="7572"/>
    <cellStyle name="适中 2 15" xfId="8034"/>
    <cellStyle name="适中 2 16" xfId="7541"/>
    <cellStyle name="适中 2 2" xfId="4805"/>
    <cellStyle name="适中 2 2 2" xfId="4806"/>
    <cellStyle name="适中 2 2 2 2" xfId="4807"/>
    <cellStyle name="适中 2 2 2 2 2" xfId="7576"/>
    <cellStyle name="适中 2 2 2 2 3" xfId="8032"/>
    <cellStyle name="适中 2 2 2 2 4" xfId="7575"/>
    <cellStyle name="适中 2 2 2 3" xfId="7577"/>
    <cellStyle name="适中 2 2 2 4" xfId="7578"/>
    <cellStyle name="适中 2 2 2 5" xfId="8033"/>
    <cellStyle name="适中 2 2 2 6" xfId="7574"/>
    <cellStyle name="适中 2 2 3" xfId="4808"/>
    <cellStyle name="适中 2 2 3 2" xfId="7580"/>
    <cellStyle name="适中 2 2 3 3" xfId="8031"/>
    <cellStyle name="适中 2 2 3 4" xfId="7579"/>
    <cellStyle name="适中 2 2 4" xfId="8030"/>
    <cellStyle name="适中 2 2 5" xfId="8029"/>
    <cellStyle name="适中 2 2 6" xfId="8028"/>
    <cellStyle name="适中 2 2 7" xfId="7573"/>
    <cellStyle name="适中 2 3" xfId="4809"/>
    <cellStyle name="适中 2 3 2" xfId="4810"/>
    <cellStyle name="适中 2 3 2 2" xfId="4811"/>
    <cellStyle name="适中 2 3 2 2 2" xfId="7584"/>
    <cellStyle name="适中 2 3 2 2 3" xfId="8026"/>
    <cellStyle name="适中 2 3 2 2 4" xfId="7583"/>
    <cellStyle name="适中 2 3 2 3" xfId="7585"/>
    <cellStyle name="适中 2 3 2 4" xfId="7586"/>
    <cellStyle name="适中 2 3 2 5" xfId="8027"/>
    <cellStyle name="适中 2 3 2 6" xfId="7582"/>
    <cellStyle name="适中 2 3 3" xfId="4812"/>
    <cellStyle name="适中 2 3 3 2" xfId="7588"/>
    <cellStyle name="适中 2 3 3 3" xfId="8025"/>
    <cellStyle name="适中 2 3 3 4" xfId="7587"/>
    <cellStyle name="适中 2 3 4" xfId="8024"/>
    <cellStyle name="适中 2 3 5" xfId="8023"/>
    <cellStyle name="适中 2 3 6" xfId="8022"/>
    <cellStyle name="适中 2 3 7" xfId="7581"/>
    <cellStyle name="适中 2 4" xfId="4813"/>
    <cellStyle name="适中 2 4 2" xfId="7590"/>
    <cellStyle name="适中 2 4 2 2" xfId="7591"/>
    <cellStyle name="适中 2 4 2 2 2" xfId="7592"/>
    <cellStyle name="适中 2 4 2 3" xfId="7593"/>
    <cellStyle name="适中 2 4 2 4" xfId="7594"/>
    <cellStyle name="适中 2 4 2 5" xfId="8021"/>
    <cellStyle name="适中 2 4 3" xfId="7595"/>
    <cellStyle name="适中 2 4 3 2" xfId="7596"/>
    <cellStyle name="适中 2 4 4" xfId="8019"/>
    <cellStyle name="适中 2 4 5" xfId="7589"/>
    <cellStyle name="适中 2 5" xfId="4814"/>
    <cellStyle name="适中 2 5 2" xfId="7598"/>
    <cellStyle name="适中 2 5 2 2" xfId="7599"/>
    <cellStyle name="适中 2 5 2 2 2" xfId="7600"/>
    <cellStyle name="适中 2 5 2 3" xfId="7601"/>
    <cellStyle name="适中 2 5 2 4" xfId="7602"/>
    <cellStyle name="适中 2 5 3" xfId="7603"/>
    <cellStyle name="适中 2 5 3 2" xfId="7604"/>
    <cellStyle name="适中 2 5 4" xfId="8018"/>
    <cellStyle name="适中 2 5 5" xfId="7597"/>
    <cellStyle name="适中 2 6" xfId="7605"/>
    <cellStyle name="适中 2 6 2" xfId="7606"/>
    <cellStyle name="适中 2 6 2 2" xfId="7607"/>
    <cellStyle name="适中 2 6 2 2 2" xfId="7608"/>
    <cellStyle name="适中 2 6 2 3" xfId="7609"/>
    <cellStyle name="适中 2 6 2 4" xfId="7610"/>
    <cellStyle name="适中 2 6 3" xfId="7611"/>
    <cellStyle name="适中 2 6 3 2" xfId="7612"/>
    <cellStyle name="适中 2 6 4" xfId="8017"/>
    <cellStyle name="适中 2 7" xfId="7613"/>
    <cellStyle name="适中 2 7 2" xfId="7614"/>
    <cellStyle name="适中 2 7 2 2" xfId="7615"/>
    <cellStyle name="适中 2 7 2 2 2" xfId="7616"/>
    <cellStyle name="适中 2 7 2 3" xfId="7617"/>
    <cellStyle name="适中 2 7 2 4" xfId="7618"/>
    <cellStyle name="适中 2 7 3" xfId="7619"/>
    <cellStyle name="适中 2 7 3 2" xfId="7620"/>
    <cellStyle name="适中 2 7 4" xfId="8016"/>
    <cellStyle name="适中 2 8" xfId="7621"/>
    <cellStyle name="适中 2 8 2" xfId="7622"/>
    <cellStyle name="适中 2 8 2 2" xfId="7623"/>
    <cellStyle name="适中 2 8 2 2 2" xfId="7624"/>
    <cellStyle name="适中 2 8 2 3" xfId="7625"/>
    <cellStyle name="适中 2 8 2 4" xfId="7626"/>
    <cellStyle name="适中 2 8 3" xfId="7627"/>
    <cellStyle name="适中 2 8 3 2" xfId="7628"/>
    <cellStyle name="适中 2 8 4" xfId="8015"/>
    <cellStyle name="适中 2 9" xfId="7629"/>
    <cellStyle name="适中 2 9 2" xfId="7630"/>
    <cellStyle name="适中 2 9 2 2" xfId="7631"/>
    <cellStyle name="适中 2 9 2 2 2" xfId="7632"/>
    <cellStyle name="适中 2 9 2 3" xfId="7633"/>
    <cellStyle name="适中 2 9 2 4" xfId="7634"/>
    <cellStyle name="适中 2 9 3" xfId="7635"/>
    <cellStyle name="适中 2 9 3 2" xfId="7636"/>
    <cellStyle name="适中 2 9 4" xfId="8014"/>
    <cellStyle name="适中 3" xfId="4815"/>
    <cellStyle name="适中 3 2" xfId="4816"/>
    <cellStyle name="适中 3 2 2" xfId="7638"/>
    <cellStyle name="适中 3 2 2 2" xfId="7639"/>
    <cellStyle name="适中 3 2 3" xfId="7640"/>
    <cellStyle name="适中 3 2 4" xfId="8013"/>
    <cellStyle name="适中 3 2 5" xfId="7637"/>
    <cellStyle name="适中 3 3" xfId="4817"/>
    <cellStyle name="适中 3 3 2" xfId="7642"/>
    <cellStyle name="适中 3 3 3" xfId="8012"/>
    <cellStyle name="适中 3 3 4" xfId="7641"/>
    <cellStyle name="适中 3 4" xfId="7643"/>
    <cellStyle name="适中 3 4 2" xfId="7644"/>
    <cellStyle name="适中 3 5" xfId="7645"/>
    <cellStyle name="适中 3 5 2" xfId="8011"/>
    <cellStyle name="适中 4" xfId="4818"/>
    <cellStyle name="输出 2" xfId="4819"/>
    <cellStyle name="输出 2 10" xfId="7647"/>
    <cellStyle name="输出 2 10 2" xfId="7648"/>
    <cellStyle name="输出 2 10 2 2" xfId="7649"/>
    <cellStyle name="输出 2 10 2 2 2" xfId="7650"/>
    <cellStyle name="输出 2 10 2 3" xfId="7651"/>
    <cellStyle name="输出 2 10 2 4" xfId="7652"/>
    <cellStyle name="输出 2 10 3" xfId="7653"/>
    <cellStyle name="输出 2 10 3 2" xfId="7654"/>
    <cellStyle name="输出 2 10 4" xfId="8010"/>
    <cellStyle name="输出 2 11" xfId="7655"/>
    <cellStyle name="输出 2 11 2" xfId="7656"/>
    <cellStyle name="输出 2 11 2 2" xfId="7657"/>
    <cellStyle name="输出 2 11 2 2 2" xfId="7658"/>
    <cellStyle name="输出 2 11 2 3" xfId="7659"/>
    <cellStyle name="输出 2 11 2 4" xfId="7660"/>
    <cellStyle name="输出 2 11 3" xfId="7661"/>
    <cellStyle name="输出 2 11 3 2" xfId="7662"/>
    <cellStyle name="输出 2 11 4" xfId="8009"/>
    <cellStyle name="输出 2 12" xfId="7663"/>
    <cellStyle name="输出 2 12 2" xfId="7664"/>
    <cellStyle name="输出 2 12 2 2" xfId="7665"/>
    <cellStyle name="输出 2 12 2 2 2" xfId="7666"/>
    <cellStyle name="输出 2 12 2 3" xfId="7667"/>
    <cellStyle name="输出 2 12 2 4" xfId="7668"/>
    <cellStyle name="输出 2 12 3" xfId="7669"/>
    <cellStyle name="输出 2 12 3 2" xfId="7670"/>
    <cellStyle name="输出 2 12 4" xfId="8008"/>
    <cellStyle name="输出 2 13" xfId="7671"/>
    <cellStyle name="输出 2 13 2" xfId="7672"/>
    <cellStyle name="输出 2 13 2 2" xfId="7673"/>
    <cellStyle name="输出 2 13 3" xfId="7674"/>
    <cellStyle name="输出 2 13 4" xfId="7675"/>
    <cellStyle name="输出 2 13 5" xfId="8007"/>
    <cellStyle name="输出 2 14" xfId="7676"/>
    <cellStyle name="输出 2 14 2" xfId="7677"/>
    <cellStyle name="输出 2 15" xfId="8006"/>
    <cellStyle name="输出 2 16" xfId="7646"/>
    <cellStyle name="输出 2 2" xfId="4820"/>
    <cellStyle name="输出 2 2 2" xfId="4821"/>
    <cellStyle name="输出 2 2 2 2" xfId="4822"/>
    <cellStyle name="输出 2 2 2 2 2" xfId="7681"/>
    <cellStyle name="输出 2 2 2 2 3" xfId="8004"/>
    <cellStyle name="输出 2 2 2 2 4" xfId="7680"/>
    <cellStyle name="输出 2 2 2 3" xfId="7682"/>
    <cellStyle name="输出 2 2 2 4" xfId="7683"/>
    <cellStyle name="输出 2 2 2 5" xfId="8005"/>
    <cellStyle name="输出 2 2 2 6" xfId="7679"/>
    <cellStyle name="输出 2 2 3" xfId="4823"/>
    <cellStyle name="输出 2 2 3 2" xfId="7685"/>
    <cellStyle name="输出 2 2 3 3" xfId="8003"/>
    <cellStyle name="输出 2 2 3 4" xfId="7684"/>
    <cellStyle name="输出 2 2 4" xfId="8002"/>
    <cellStyle name="输出 2 2 5" xfId="8001"/>
    <cellStyle name="输出 2 2 6" xfId="8000"/>
    <cellStyle name="输出 2 2 7" xfId="7678"/>
    <cellStyle name="输出 2 3" xfId="4824"/>
    <cellStyle name="输出 2 3 2" xfId="4825"/>
    <cellStyle name="输出 2 3 2 2" xfId="4826"/>
    <cellStyle name="输出 2 3 2 2 2" xfId="7689"/>
    <cellStyle name="输出 2 3 2 2 3" xfId="7998"/>
    <cellStyle name="输出 2 3 2 2 4" xfId="7688"/>
    <cellStyle name="输出 2 3 2 3" xfId="7690"/>
    <cellStyle name="输出 2 3 2 4" xfId="7691"/>
    <cellStyle name="输出 2 3 2 5" xfId="7999"/>
    <cellStyle name="输出 2 3 2 6" xfId="7687"/>
    <cellStyle name="输出 2 3 3" xfId="4827"/>
    <cellStyle name="输出 2 3 3 2" xfId="7693"/>
    <cellStyle name="输出 2 3 3 3" xfId="7995"/>
    <cellStyle name="输出 2 3 3 4" xfId="7692"/>
    <cellStyle name="输出 2 3 4" xfId="7993"/>
    <cellStyle name="输出 2 3 5" xfId="7990"/>
    <cellStyle name="输出 2 3 6" xfId="7987"/>
    <cellStyle name="输出 2 3 7" xfId="7686"/>
    <cellStyle name="输出 2 4" xfId="4828"/>
    <cellStyle name="输出 2 4 2" xfId="7695"/>
    <cellStyle name="输出 2 4 2 2" xfId="7696"/>
    <cellStyle name="输出 2 4 2 2 2" xfId="7697"/>
    <cellStyle name="输出 2 4 2 3" xfId="7698"/>
    <cellStyle name="输出 2 4 2 4" xfId="7699"/>
    <cellStyle name="输出 2 4 2 5" xfId="7985"/>
    <cellStyle name="输出 2 4 3" xfId="7700"/>
    <cellStyle name="输出 2 4 3 2" xfId="7701"/>
    <cellStyle name="输出 2 4 4" xfId="7982"/>
    <cellStyle name="输出 2 4 5" xfId="7694"/>
    <cellStyle name="输出 2 5" xfId="4829"/>
    <cellStyle name="输出 2 5 2" xfId="7703"/>
    <cellStyle name="输出 2 5 2 2" xfId="7704"/>
    <cellStyle name="输出 2 5 2 2 2" xfId="7705"/>
    <cellStyle name="输出 2 5 2 3" xfId="7706"/>
    <cellStyle name="输出 2 5 2 4" xfId="7707"/>
    <cellStyle name="输出 2 5 3" xfId="7708"/>
    <cellStyle name="输出 2 5 3 2" xfId="7709"/>
    <cellStyle name="输出 2 5 4" xfId="5682"/>
    <cellStyle name="输出 2 5 5" xfId="7702"/>
    <cellStyle name="输出 2 6" xfId="7710"/>
    <cellStyle name="输出 2 6 2" xfId="7711"/>
    <cellStyle name="输出 2 6 2 2" xfId="7712"/>
    <cellStyle name="输出 2 6 2 2 2" xfId="7713"/>
    <cellStyle name="输出 2 6 2 3" xfId="7714"/>
    <cellStyle name="输出 2 6 2 4" xfId="7715"/>
    <cellStyle name="输出 2 6 3" xfId="7716"/>
    <cellStyle name="输出 2 6 3 2" xfId="7717"/>
    <cellStyle name="输出 2 6 4" xfId="5690"/>
    <cellStyle name="输出 2 7" xfId="7718"/>
    <cellStyle name="输出 2 7 2" xfId="7719"/>
    <cellStyle name="输出 2 7 2 2" xfId="7720"/>
    <cellStyle name="输出 2 7 2 2 2" xfId="7721"/>
    <cellStyle name="输出 2 7 2 3" xfId="7722"/>
    <cellStyle name="输出 2 7 2 4" xfId="7723"/>
    <cellStyle name="输出 2 7 3" xfId="7724"/>
    <cellStyle name="输出 2 7 3 2" xfId="7725"/>
    <cellStyle name="输出 2 7 4" xfId="5712"/>
    <cellStyle name="输出 2 8" xfId="7726"/>
    <cellStyle name="输出 2 8 2" xfId="7727"/>
    <cellStyle name="输出 2 8 2 2" xfId="7728"/>
    <cellStyle name="输出 2 8 2 2 2" xfId="7729"/>
    <cellStyle name="输出 2 8 2 3" xfId="7730"/>
    <cellStyle name="输出 2 8 2 4" xfId="7731"/>
    <cellStyle name="输出 2 8 3" xfId="7732"/>
    <cellStyle name="输出 2 8 3 2" xfId="7733"/>
    <cellStyle name="输出 2 8 4" xfId="5720"/>
    <cellStyle name="输出 2 9" xfId="7734"/>
    <cellStyle name="输出 2 9 2" xfId="7735"/>
    <cellStyle name="输出 2 9 2 2" xfId="7736"/>
    <cellStyle name="输出 2 9 2 2 2" xfId="7737"/>
    <cellStyle name="输出 2 9 2 3" xfId="7738"/>
    <cellStyle name="输出 2 9 2 4" xfId="7739"/>
    <cellStyle name="输出 2 9 3" xfId="7740"/>
    <cellStyle name="输出 2 9 3 2" xfId="7741"/>
    <cellStyle name="输出 2 9 4" xfId="5742"/>
    <cellStyle name="输出 3" xfId="4830"/>
    <cellStyle name="输出 3 2" xfId="4831"/>
    <cellStyle name="输出 3 2 2" xfId="7743"/>
    <cellStyle name="输出 3 2 2 2" xfId="7744"/>
    <cellStyle name="输出 3 2 3" xfId="7745"/>
    <cellStyle name="输出 3 2 4" xfId="5746"/>
    <cellStyle name="输出 3 2 5" xfId="7742"/>
    <cellStyle name="输出 3 3" xfId="4832"/>
    <cellStyle name="输出 3 3 2" xfId="7747"/>
    <cellStyle name="输出 3 3 3" xfId="5751"/>
    <cellStyle name="输出 3 3 4" xfId="7746"/>
    <cellStyle name="输出 3 4" xfId="7748"/>
    <cellStyle name="输出 3 4 2" xfId="7749"/>
    <cellStyle name="输出 3 5" xfId="7750"/>
    <cellStyle name="输出 3 5 2" xfId="5760"/>
    <cellStyle name="输出 4" xfId="4833"/>
    <cellStyle name="输入 2" xfId="4834"/>
    <cellStyle name="输入 2 10" xfId="7752"/>
    <cellStyle name="输入 2 10 2" xfId="7753"/>
    <cellStyle name="输入 2 10 2 2" xfId="7754"/>
    <cellStyle name="输入 2 10 2 2 2" xfId="7755"/>
    <cellStyle name="输入 2 10 2 3" xfId="7756"/>
    <cellStyle name="输入 2 10 2 4" xfId="7757"/>
    <cellStyle name="输入 2 10 3" xfId="7758"/>
    <cellStyle name="输入 2 10 3 2" xfId="7759"/>
    <cellStyle name="输入 2 10 4" xfId="5779"/>
    <cellStyle name="输入 2 11" xfId="7760"/>
    <cellStyle name="输入 2 11 2" xfId="7761"/>
    <cellStyle name="输入 2 11 2 2" xfId="7762"/>
    <cellStyle name="输入 2 11 2 2 2" xfId="7763"/>
    <cellStyle name="输入 2 11 2 3" xfId="7764"/>
    <cellStyle name="输入 2 11 2 4" xfId="7765"/>
    <cellStyle name="输入 2 11 3" xfId="7766"/>
    <cellStyle name="输入 2 11 3 2" xfId="7767"/>
    <cellStyle name="输入 2 11 4" xfId="5794"/>
    <cellStyle name="输入 2 12" xfId="7768"/>
    <cellStyle name="输入 2 12 2" xfId="7769"/>
    <cellStyle name="输入 2 12 2 2" xfId="7770"/>
    <cellStyle name="输入 2 12 2 2 2" xfId="7771"/>
    <cellStyle name="输入 2 12 2 3" xfId="7772"/>
    <cellStyle name="输入 2 12 2 4" xfId="7773"/>
    <cellStyle name="输入 2 12 3" xfId="7774"/>
    <cellStyle name="输入 2 12 3 2" xfId="7775"/>
    <cellStyle name="输入 2 12 4" xfId="5810"/>
    <cellStyle name="输入 2 13" xfId="7776"/>
    <cellStyle name="输入 2 13 2" xfId="7777"/>
    <cellStyle name="输入 2 13 2 2" xfId="7778"/>
    <cellStyle name="输入 2 13 3" xfId="7779"/>
    <cellStyle name="输入 2 13 4" xfId="7780"/>
    <cellStyle name="输入 2 13 5" xfId="5812"/>
    <cellStyle name="输入 2 14" xfId="7781"/>
    <cellStyle name="输入 2 14 2" xfId="7782"/>
    <cellStyle name="输入 2 15" xfId="5826"/>
    <cellStyle name="输入 2 16" xfId="7751"/>
    <cellStyle name="输入 2 2" xfId="4835"/>
    <cellStyle name="输入 2 2 2" xfId="4836"/>
    <cellStyle name="输入 2 2 2 2" xfId="4837"/>
    <cellStyle name="输入 2 2 2 2 2" xfId="7786"/>
    <cellStyle name="输入 2 2 2 2 3" xfId="5838"/>
    <cellStyle name="输入 2 2 2 2 4" xfId="7785"/>
    <cellStyle name="输入 2 2 2 3" xfId="7787"/>
    <cellStyle name="输入 2 2 2 4" xfId="7788"/>
    <cellStyle name="输入 2 2 2 5" xfId="5836"/>
    <cellStyle name="输入 2 2 2 6" xfId="7784"/>
    <cellStyle name="输入 2 2 3" xfId="4838"/>
    <cellStyle name="输入 2 2 3 2" xfId="7790"/>
    <cellStyle name="输入 2 2 3 3" xfId="5844"/>
    <cellStyle name="输入 2 2 3 4" xfId="7789"/>
    <cellStyle name="输入 2 2 4" xfId="5846"/>
    <cellStyle name="输入 2 2 5" xfId="5853"/>
    <cellStyle name="输入 2 2 6" xfId="5856"/>
    <cellStyle name="输入 2 2 7" xfId="7783"/>
    <cellStyle name="输入 2 3" xfId="4839"/>
    <cellStyle name="输入 2 3 2" xfId="4840"/>
    <cellStyle name="输入 2 3 2 2" xfId="4841"/>
    <cellStyle name="输入 2 3 2 2 2" xfId="7794"/>
    <cellStyle name="输入 2 3 2 2 3" xfId="5673"/>
    <cellStyle name="输入 2 3 2 2 4" xfId="7793"/>
    <cellStyle name="输入 2 3 2 3" xfId="7795"/>
    <cellStyle name="输入 2 3 2 4" xfId="7796"/>
    <cellStyle name="输入 2 3 2 5" xfId="5920"/>
    <cellStyle name="输入 2 3 2 6" xfId="7792"/>
    <cellStyle name="输入 2 3 3" xfId="4842"/>
    <cellStyle name="输入 2 3 3 2" xfId="7798"/>
    <cellStyle name="输入 2 3 3 3" xfId="6581"/>
    <cellStyle name="输入 2 3 3 4" xfId="7797"/>
    <cellStyle name="输入 2 3 4" xfId="6588"/>
    <cellStyle name="输入 2 3 5" xfId="6592"/>
    <cellStyle name="输入 2 3 6" xfId="6604"/>
    <cellStyle name="输入 2 3 7" xfId="7791"/>
    <cellStyle name="输入 2 4" xfId="4843"/>
    <cellStyle name="输入 2 4 2" xfId="7800"/>
    <cellStyle name="输入 2 4 2 2" xfId="7801"/>
    <cellStyle name="输入 2 4 2 2 2" xfId="7802"/>
    <cellStyle name="输入 2 4 2 3" xfId="7803"/>
    <cellStyle name="输入 2 4 2 4" xfId="7804"/>
    <cellStyle name="输入 2 4 2 5" xfId="6617"/>
    <cellStyle name="输入 2 4 3" xfId="7805"/>
    <cellStyle name="输入 2 4 3 2" xfId="7806"/>
    <cellStyle name="输入 2 4 4" xfId="6656"/>
    <cellStyle name="输入 2 4 5" xfId="7799"/>
    <cellStyle name="输入 2 5" xfId="4844"/>
    <cellStyle name="输入 2 5 2" xfId="7808"/>
    <cellStyle name="输入 2 5 2 2" xfId="7809"/>
    <cellStyle name="输入 2 5 2 2 2" xfId="7810"/>
    <cellStyle name="输入 2 5 2 3" xfId="7811"/>
    <cellStyle name="输入 2 5 2 4" xfId="7812"/>
    <cellStyle name="输入 2 5 3" xfId="7813"/>
    <cellStyle name="输入 2 5 3 2" xfId="7814"/>
    <cellStyle name="输入 2 5 4" xfId="6674"/>
    <cellStyle name="输入 2 5 5" xfId="7807"/>
    <cellStyle name="输入 2 6" xfId="7815"/>
    <cellStyle name="输入 2 6 2" xfId="7816"/>
    <cellStyle name="输入 2 6 2 2" xfId="7817"/>
    <cellStyle name="输入 2 6 2 2 2" xfId="7818"/>
    <cellStyle name="输入 2 6 2 3" xfId="7819"/>
    <cellStyle name="输入 2 6 2 4" xfId="7820"/>
    <cellStyle name="输入 2 6 3" xfId="7821"/>
    <cellStyle name="输入 2 6 3 2" xfId="7822"/>
    <cellStyle name="输入 2 6 4" xfId="6685"/>
    <cellStyle name="输入 2 7" xfId="7823"/>
    <cellStyle name="输入 2 7 2" xfId="7824"/>
    <cellStyle name="输入 2 7 2 2" xfId="7825"/>
    <cellStyle name="输入 2 7 2 2 2" xfId="7826"/>
    <cellStyle name="输入 2 7 2 3" xfId="7827"/>
    <cellStyle name="输入 2 7 2 4" xfId="7828"/>
    <cellStyle name="输入 2 7 3" xfId="7829"/>
    <cellStyle name="输入 2 7 3 2" xfId="7830"/>
    <cellStyle name="输入 2 7 4" xfId="6706"/>
    <cellStyle name="输入 2 8" xfId="7831"/>
    <cellStyle name="输入 2 8 2" xfId="7832"/>
    <cellStyle name="输入 2 8 2 2" xfId="7833"/>
    <cellStyle name="输入 2 8 2 2 2" xfId="7834"/>
    <cellStyle name="输入 2 8 2 3" xfId="7835"/>
    <cellStyle name="输入 2 8 2 4" xfId="7836"/>
    <cellStyle name="输入 2 8 3" xfId="7837"/>
    <cellStyle name="输入 2 8 3 2" xfId="7838"/>
    <cellStyle name="输入 2 8 4" xfId="6736"/>
    <cellStyle name="输入 2 9" xfId="7839"/>
    <cellStyle name="输入 2 9 2" xfId="7840"/>
    <cellStyle name="输入 2 9 2 2" xfId="7841"/>
    <cellStyle name="输入 2 9 2 2 2" xfId="7842"/>
    <cellStyle name="输入 2 9 2 3" xfId="7843"/>
    <cellStyle name="输入 2 9 2 4" xfId="7844"/>
    <cellStyle name="输入 2 9 3" xfId="7845"/>
    <cellStyle name="输入 2 9 3 2" xfId="7846"/>
    <cellStyle name="输入 2 9 4" xfId="7463"/>
    <cellStyle name="输入 3" xfId="4845"/>
    <cellStyle name="输入 3 2" xfId="4846"/>
    <cellStyle name="输入 3 2 2" xfId="7848"/>
    <cellStyle name="输入 3 2 2 2" xfId="7849"/>
    <cellStyle name="输入 3 2 3" xfId="7850"/>
    <cellStyle name="输入 3 2 4" xfId="7468"/>
    <cellStyle name="输入 3 2 5" xfId="7847"/>
    <cellStyle name="输入 3 3" xfId="4847"/>
    <cellStyle name="输入 3 3 2" xfId="7852"/>
    <cellStyle name="输入 3 3 3" xfId="7483"/>
    <cellStyle name="输入 3 3 4" xfId="7851"/>
    <cellStyle name="输入 3 4" xfId="7853"/>
    <cellStyle name="输入 3 4 2" xfId="7854"/>
    <cellStyle name="输入 3 5" xfId="7855"/>
    <cellStyle name="输入 3 5 2" xfId="7485"/>
    <cellStyle name="输入 4" xfId="4848"/>
    <cellStyle name="未定义" xfId="4849"/>
    <cellStyle name="未定义 2" xfId="7856"/>
    <cellStyle name="未定义 2 2" xfId="7857"/>
    <cellStyle name="样式 1" xfId="4850"/>
    <cellStyle name="样式 1 2" xfId="7858"/>
    <cellStyle name="样式 1 2 2" xfId="7859"/>
    <cellStyle name="样式 1 2 2 2" xfId="7860"/>
    <cellStyle name="样式 1 2 2 2 2" xfId="8885"/>
    <cellStyle name="样式 1 2 3" xfId="8985"/>
    <cellStyle name="样式 1 2 4" xfId="7486"/>
    <cellStyle name="样式 1 3" xfId="7861"/>
    <cellStyle name="样式 1 3 2" xfId="7862"/>
    <cellStyle name="样式 1 3 3" xfId="7863"/>
    <cellStyle name="样式 1 3 3 2" xfId="8886"/>
    <cellStyle name="样式 1 3 4" xfId="7864"/>
    <cellStyle name="样式 1 3 4 2" xfId="8887"/>
    <cellStyle name="样式 1 4" xfId="7865"/>
    <cellStyle name="样式 1 4 2" xfId="7866"/>
    <cellStyle name="样式 1 4 2 2" xfId="7867"/>
    <cellStyle name="样式 1 4 2 2 2" xfId="8890"/>
    <cellStyle name="样式 1 4 3" xfId="7868"/>
    <cellStyle name="样式 1 4 3 2" xfId="8891"/>
    <cellStyle name="样式 1 5" xfId="7869"/>
    <cellStyle name="样式 1 5 2" xfId="7870"/>
    <cellStyle name="样式 1 5 2 2" xfId="8893"/>
    <cellStyle name="样式 1 6" xfId="8986"/>
    <cellStyle name="注释 2" xfId="4851"/>
    <cellStyle name="注释 2 10" xfId="7872"/>
    <cellStyle name="注释 2 10 2" xfId="7873"/>
    <cellStyle name="注释 2 10 2 2" xfId="7874"/>
    <cellStyle name="注释 2 10 2 2 2" xfId="7875"/>
    <cellStyle name="注释 2 10 2 2 2 2" xfId="8896"/>
    <cellStyle name="注释 2 10 2 3" xfId="7876"/>
    <cellStyle name="注释 2 10 2 3 2" xfId="8897"/>
    <cellStyle name="注释 2 10 2 4" xfId="7877"/>
    <cellStyle name="注释 2 10 2 4 2" xfId="8898"/>
    <cellStyle name="注释 2 10 3" xfId="7878"/>
    <cellStyle name="注释 2 10 3 2" xfId="7879"/>
    <cellStyle name="注释 2 10 3 2 2" xfId="8900"/>
    <cellStyle name="注释 2 10 4" xfId="8987"/>
    <cellStyle name="注释 2 11" xfId="7880"/>
    <cellStyle name="注释 2 11 2" xfId="7881"/>
    <cellStyle name="注释 2 11 2 2" xfId="7882"/>
    <cellStyle name="注释 2 11 2 2 2" xfId="7883"/>
    <cellStyle name="注释 2 11 2 2 2 2" xfId="8904"/>
    <cellStyle name="注释 2 11 2 3" xfId="7884"/>
    <cellStyle name="注释 2 11 2 3 2" xfId="8905"/>
    <cellStyle name="注释 2 11 2 4" xfId="7885"/>
    <cellStyle name="注释 2 11 2 4 2" xfId="8906"/>
    <cellStyle name="注释 2 11 3" xfId="7886"/>
    <cellStyle name="注释 2 11 3 2" xfId="7887"/>
    <cellStyle name="注释 2 11 3 2 2" xfId="8908"/>
    <cellStyle name="注释 2 11 4" xfId="8988"/>
    <cellStyle name="注释 2 12" xfId="7888"/>
    <cellStyle name="注释 2 12 2" xfId="7889"/>
    <cellStyle name="注释 2 12 2 2" xfId="7890"/>
    <cellStyle name="注释 2 12 2 2 2" xfId="7891"/>
    <cellStyle name="注释 2 12 2 2 2 2" xfId="8911"/>
    <cellStyle name="注释 2 12 2 3" xfId="7892"/>
    <cellStyle name="注释 2 12 2 3 2" xfId="8912"/>
    <cellStyle name="注释 2 12 2 4" xfId="7893"/>
    <cellStyle name="注释 2 12 2 4 2" xfId="8913"/>
    <cellStyle name="注释 2 12 3" xfId="7894"/>
    <cellStyle name="注释 2 12 3 2" xfId="7895"/>
    <cellStyle name="注释 2 12 3 2 2" xfId="8915"/>
    <cellStyle name="注释 2 12 4" xfId="8989"/>
    <cellStyle name="注释 2 13" xfId="7896"/>
    <cellStyle name="注释 2 13 2" xfId="7897"/>
    <cellStyle name="注释 2 13 2 2" xfId="7898"/>
    <cellStyle name="注释 2 13 2 2 2" xfId="8918"/>
    <cellStyle name="注释 2 13 3" xfId="7899"/>
    <cellStyle name="注释 2 13 3 2" xfId="8919"/>
    <cellStyle name="注释 2 13 4" xfId="7900"/>
    <cellStyle name="注释 2 13 4 2" xfId="8920"/>
    <cellStyle name="注释 2 13 5" xfId="8990"/>
    <cellStyle name="注释 2 14" xfId="7901"/>
    <cellStyle name="注释 2 14 2" xfId="7902"/>
    <cellStyle name="注释 2 14 2 2" xfId="8922"/>
    <cellStyle name="注释 2 15" xfId="8991"/>
    <cellStyle name="注释 2 16" xfId="7871"/>
    <cellStyle name="注释 2 2" xfId="4852"/>
    <cellStyle name="注释 2 2 2" xfId="4853"/>
    <cellStyle name="注释 2 2 2 2" xfId="4854"/>
    <cellStyle name="注释 2 2 2 2 2" xfId="4855"/>
    <cellStyle name="注释 2 2 2 2 2 2" xfId="8926"/>
    <cellStyle name="注释 2 2 2 2 2 3" xfId="8994"/>
    <cellStyle name="注释 2 2 2 2 2 4" xfId="7906"/>
    <cellStyle name="注释 2 2 2 2 3" xfId="8993"/>
    <cellStyle name="注释 2 2 2 2 4" xfId="7905"/>
    <cellStyle name="注释 2 2 2 3" xfId="4856"/>
    <cellStyle name="注释 2 2 2 3 2" xfId="8927"/>
    <cellStyle name="注释 2 2 2 3 3" xfId="8995"/>
    <cellStyle name="注释 2 2 2 3 4" xfId="7907"/>
    <cellStyle name="注释 2 2 2 4" xfId="7908"/>
    <cellStyle name="注释 2 2 2 4 2" xfId="8928"/>
    <cellStyle name="注释 2 2 2 5" xfId="8996"/>
    <cellStyle name="注释 2 2 2 6" xfId="8992"/>
    <cellStyle name="注释 2 2 2 7" xfId="7904"/>
    <cellStyle name="注释 2 2 3" xfId="4857"/>
    <cellStyle name="注释 2 2 3 2" xfId="4858"/>
    <cellStyle name="注释 2 2 3 2 2" xfId="8930"/>
    <cellStyle name="注释 2 2 3 2 3" xfId="8998"/>
    <cellStyle name="注释 2 2 3 2 4" xfId="7910"/>
    <cellStyle name="注释 2 2 3 3" xfId="8997"/>
    <cellStyle name="注释 2 2 3 4" xfId="7909"/>
    <cellStyle name="注释 2 2 4" xfId="4859"/>
    <cellStyle name="注释 2 2 5" xfId="8999"/>
    <cellStyle name="注释 2 2 6" xfId="9000"/>
    <cellStyle name="注释 2 2 7" xfId="9001"/>
    <cellStyle name="注释 2 2 8" xfId="7903"/>
    <cellStyle name="注释 2 3" xfId="4860"/>
    <cellStyle name="注释 2 3 2" xfId="4861"/>
    <cellStyle name="注释 2 3 2 2" xfId="4862"/>
    <cellStyle name="注释 2 3 2 2 2" xfId="4863"/>
    <cellStyle name="注释 2 3 2 2 2 2" xfId="8931"/>
    <cellStyle name="注释 2 3 2 2 2 3" xfId="9004"/>
    <cellStyle name="注释 2 3 2 2 2 4" xfId="7914"/>
    <cellStyle name="注释 2 3 2 2 3" xfId="9003"/>
    <cellStyle name="注释 2 3 2 2 4" xfId="7913"/>
    <cellStyle name="注释 2 3 2 3" xfId="4864"/>
    <cellStyle name="注释 2 3 2 3 2" xfId="8932"/>
    <cellStyle name="注释 2 3 2 3 3" xfId="9005"/>
    <cellStyle name="注释 2 3 2 3 4" xfId="7915"/>
    <cellStyle name="注释 2 3 2 4" xfId="7916"/>
    <cellStyle name="注释 2 3 2 4 2" xfId="8933"/>
    <cellStyle name="注释 2 3 2 5" xfId="9006"/>
    <cellStyle name="注释 2 3 2 6" xfId="9002"/>
    <cellStyle name="注释 2 3 2 7" xfId="7912"/>
    <cellStyle name="注释 2 3 3" xfId="4865"/>
    <cellStyle name="注释 2 3 3 2" xfId="4866"/>
    <cellStyle name="注释 2 3 3 2 2" xfId="8934"/>
    <cellStyle name="注释 2 3 3 2 3" xfId="9008"/>
    <cellStyle name="注释 2 3 3 2 4" xfId="7918"/>
    <cellStyle name="注释 2 3 3 3" xfId="9007"/>
    <cellStyle name="注释 2 3 3 4" xfId="7917"/>
    <cellStyle name="注释 2 3 4" xfId="4867"/>
    <cellStyle name="注释 2 3 5" xfId="9009"/>
    <cellStyle name="注释 2 3 6" xfId="9010"/>
    <cellStyle name="注释 2 3 7" xfId="9011"/>
    <cellStyle name="注释 2 3 8" xfId="7911"/>
    <cellStyle name="注释 2 4" xfId="4868"/>
    <cellStyle name="注释 2 4 2" xfId="4869"/>
    <cellStyle name="注释 2 4 2 2" xfId="7921"/>
    <cellStyle name="注释 2 4 2 2 2" xfId="7922"/>
    <cellStyle name="注释 2 4 2 2 2 2" xfId="8938"/>
    <cellStyle name="注释 2 4 2 3" xfId="7923"/>
    <cellStyle name="注释 2 4 2 3 2" xfId="8939"/>
    <cellStyle name="注释 2 4 2 4" xfId="7924"/>
    <cellStyle name="注释 2 4 2 4 2" xfId="8940"/>
    <cellStyle name="注释 2 4 2 5" xfId="9012"/>
    <cellStyle name="注释 2 4 2 6" xfId="7920"/>
    <cellStyle name="注释 2 4 3" xfId="7925"/>
    <cellStyle name="注释 2 4 3 2" xfId="7926"/>
    <cellStyle name="注释 2 4 3 2 2" xfId="8941"/>
    <cellStyle name="注释 2 4 3 3" xfId="9013"/>
    <cellStyle name="注释 2 4 4" xfId="9014"/>
    <cellStyle name="注释 2 4 5" xfId="9015"/>
    <cellStyle name="注释 2 4 6" xfId="7919"/>
    <cellStyle name="注释 2 5" xfId="4870"/>
    <cellStyle name="注释 2 5 2" xfId="7928"/>
    <cellStyle name="注释 2 5 2 2" xfId="7929"/>
    <cellStyle name="注释 2 5 2 2 2" xfId="7930"/>
    <cellStyle name="注释 2 5 2 2 2 2" xfId="8944"/>
    <cellStyle name="注释 2 5 2 3" xfId="7931"/>
    <cellStyle name="注释 2 5 2 3 2" xfId="8945"/>
    <cellStyle name="注释 2 5 2 4" xfId="7932"/>
    <cellStyle name="注释 2 5 2 4 2" xfId="8946"/>
    <cellStyle name="注释 2 5 2 5" xfId="9016"/>
    <cellStyle name="注释 2 5 3" xfId="7933"/>
    <cellStyle name="注释 2 5 3 2" xfId="7934"/>
    <cellStyle name="注释 2 5 3 2 2" xfId="8948"/>
    <cellStyle name="注释 2 5 4" xfId="9017"/>
    <cellStyle name="注释 2 5 5" xfId="7927"/>
    <cellStyle name="注释 2 6" xfId="4871"/>
    <cellStyle name="注释 2 6 2" xfId="7936"/>
    <cellStyle name="注释 2 6 2 2" xfId="7937"/>
    <cellStyle name="注释 2 6 2 2 2" xfId="7938"/>
    <cellStyle name="注释 2 6 2 2 2 2" xfId="8952"/>
    <cellStyle name="注释 2 6 2 3" xfId="7939"/>
    <cellStyle name="注释 2 6 2 3 2" xfId="8953"/>
    <cellStyle name="注释 2 6 2 4" xfId="7940"/>
    <cellStyle name="注释 2 6 2 4 2" xfId="8954"/>
    <cellStyle name="注释 2 6 3" xfId="7941"/>
    <cellStyle name="注释 2 6 3 2" xfId="7942"/>
    <cellStyle name="注释 2 6 3 2 2" xfId="8956"/>
    <cellStyle name="注释 2 6 4" xfId="9018"/>
    <cellStyle name="注释 2 6 5" xfId="7935"/>
    <cellStyle name="注释 2 7" xfId="7943"/>
    <cellStyle name="注释 2 7 2" xfId="7944"/>
    <cellStyle name="注释 2 7 2 2" xfId="7945"/>
    <cellStyle name="注释 2 7 2 2 2" xfId="7946"/>
    <cellStyle name="注释 2 7 2 2 2 2" xfId="8959"/>
    <cellStyle name="注释 2 7 2 3" xfId="7947"/>
    <cellStyle name="注释 2 7 2 3 2" xfId="8960"/>
    <cellStyle name="注释 2 7 2 4" xfId="7948"/>
    <cellStyle name="注释 2 7 2 4 2" xfId="8961"/>
    <cellStyle name="注释 2 7 3" xfId="7949"/>
    <cellStyle name="注释 2 7 3 2" xfId="7950"/>
    <cellStyle name="注释 2 7 3 2 2" xfId="8963"/>
    <cellStyle name="注释 2 7 4" xfId="9019"/>
    <cellStyle name="注释 2 8" xfId="7951"/>
    <cellStyle name="注释 2 8 2" xfId="7952"/>
    <cellStyle name="注释 2 8 2 2" xfId="7953"/>
    <cellStyle name="注释 2 8 2 2 2" xfId="7954"/>
    <cellStyle name="注释 2 8 2 2 2 2" xfId="8967"/>
    <cellStyle name="注释 2 8 2 3" xfId="7955"/>
    <cellStyle name="注释 2 8 2 3 2" xfId="8968"/>
    <cellStyle name="注释 2 8 2 4" xfId="7956"/>
    <cellStyle name="注释 2 8 2 4 2" xfId="8969"/>
    <cellStyle name="注释 2 8 3" xfId="7957"/>
    <cellStyle name="注释 2 8 3 2" xfId="7958"/>
    <cellStyle name="注释 2 8 3 2 2" xfId="8971"/>
    <cellStyle name="注释 2 8 4" xfId="9020"/>
    <cellStyle name="注释 2 9" xfId="7959"/>
    <cellStyle name="注释 2 9 2" xfId="7960"/>
    <cellStyle name="注释 2 9 2 2" xfId="7961"/>
    <cellStyle name="注释 2 9 2 2 2" xfId="7962"/>
    <cellStyle name="注释 2 9 2 2 2 2" xfId="8975"/>
    <cellStyle name="注释 2 9 2 3" xfId="7963"/>
    <cellStyle name="注释 2 9 2 3 2" xfId="8976"/>
    <cellStyle name="注释 2 9 2 4" xfId="7964"/>
    <cellStyle name="注释 2 9 2 4 2" xfId="8977"/>
    <cellStyle name="注释 2 9 3" xfId="7965"/>
    <cellStyle name="注释 2 9 3 2" xfId="7966"/>
    <cellStyle name="注释 2 9 3 2 2" xfId="8978"/>
    <cellStyle name="注释 2 9 4" xfId="9021"/>
    <cellStyle name="注释 3" xfId="4872"/>
    <cellStyle name="注释 3 2" xfId="4873"/>
    <cellStyle name="注释 3 2 2" xfId="4874"/>
    <cellStyle name="注释 3 2 2 2" xfId="7970"/>
    <cellStyle name="注释 3 2 2 2 2" xfId="8980"/>
    <cellStyle name="注释 3 2 2 3" xfId="9023"/>
    <cellStyle name="注释 3 2 2 4" xfId="7969"/>
    <cellStyle name="注释 3 2 3" xfId="7971"/>
    <cellStyle name="注释 3 2 3 2" xfId="8981"/>
    <cellStyle name="注释 3 2 4" xfId="9024"/>
    <cellStyle name="注释 3 2 5" xfId="9022"/>
    <cellStyle name="注释 3 2 6" xfId="7968"/>
    <cellStyle name="注释 3 3" xfId="4875"/>
    <cellStyle name="注释 3 3 2" xfId="7973"/>
    <cellStyle name="注释 3 3 2 2" xfId="8982"/>
    <cellStyle name="注释 3 3 3" xfId="9025"/>
    <cellStyle name="注释 3 3 4" xfId="7972"/>
    <cellStyle name="注释 3 4" xfId="4876"/>
    <cellStyle name="注释 3 4 2" xfId="7975"/>
    <cellStyle name="注释 3 4 2 2" xfId="8983"/>
    <cellStyle name="注释 3 4 3" xfId="9026"/>
    <cellStyle name="注释 3 4 4" xfId="7974"/>
    <cellStyle name="注释 3 5" xfId="7976"/>
    <cellStyle name="注释 3 5 2" xfId="8984"/>
    <cellStyle name="注释 3 5 3" xfId="9027"/>
    <cellStyle name="注释 3 6" xfId="8979"/>
    <cellStyle name="注释 3 6 2" xfId="9028"/>
    <cellStyle name="注释 3 7" xfId="7967"/>
    <cellStyle name="注释 4" xfId="4877"/>
    <cellStyle name="注释 4 2" xfId="4878"/>
    <cellStyle name="注释 4 2 2" xfId="4879"/>
    <cellStyle name="注释 4 3" xfId="4880"/>
    <cellStyle name="注释 5" xfId="48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J2" sqref="J2"/>
    </sheetView>
  </sheetViews>
  <sheetFormatPr defaultColWidth="9.375" defaultRowHeight="10.8"/>
  <cols>
    <col min="3" max="3" width="26" bestFit="1" customWidth="1"/>
  </cols>
  <sheetData>
    <row r="1" spans="1:9" ht="47.25" customHeight="1">
      <c r="A1" s="41" t="s">
        <v>670</v>
      </c>
      <c r="B1" s="39"/>
      <c r="C1" s="39"/>
      <c r="D1" s="39"/>
      <c r="E1" s="39"/>
      <c r="F1" s="39"/>
      <c r="G1" s="39"/>
      <c r="H1" s="39"/>
    </row>
    <row r="2" spans="1:9" ht="30" customHeight="1"/>
    <row r="3" spans="1:9" ht="27.9" customHeight="1">
      <c r="C3" s="51" t="s">
        <v>694</v>
      </c>
      <c r="D3" s="40"/>
      <c r="E3" s="40"/>
      <c r="F3" s="40"/>
      <c r="G3" s="40"/>
      <c r="H3" s="40"/>
      <c r="I3" s="40"/>
    </row>
    <row r="4" spans="1:9" ht="27.9" customHeight="1">
      <c r="C4" s="92" t="s">
        <v>671</v>
      </c>
      <c r="D4" s="92"/>
      <c r="E4" s="92"/>
      <c r="F4" s="92"/>
      <c r="G4" s="92"/>
      <c r="H4" s="92"/>
      <c r="I4" s="92"/>
    </row>
    <row r="5" spans="1:9" ht="27.9" customHeight="1">
      <c r="C5" s="92" t="s">
        <v>672</v>
      </c>
      <c r="D5" s="92"/>
      <c r="E5" s="92"/>
      <c r="F5" s="92"/>
      <c r="G5" s="92"/>
      <c r="H5" s="92"/>
      <c r="I5" s="92"/>
    </row>
    <row r="6" spans="1:9" ht="27.9" customHeight="1">
      <c r="C6" s="92" t="s">
        <v>673</v>
      </c>
      <c r="D6" s="92"/>
      <c r="E6" s="92"/>
      <c r="F6" s="92"/>
      <c r="G6" s="92"/>
      <c r="H6" s="92"/>
      <c r="I6" s="92"/>
    </row>
    <row r="7" spans="1:9" ht="27.9" customHeight="1">
      <c r="C7" s="50" t="s">
        <v>674</v>
      </c>
      <c r="D7" s="40"/>
      <c r="E7" s="40"/>
      <c r="F7" s="40"/>
      <c r="G7" s="40"/>
      <c r="H7" s="40"/>
      <c r="I7" s="40"/>
    </row>
    <row r="8" spans="1:9" ht="27.9" customHeight="1">
      <c r="C8" s="50" t="s">
        <v>675</v>
      </c>
      <c r="D8" s="40"/>
      <c r="E8" s="40"/>
      <c r="F8" s="40"/>
      <c r="G8" s="40"/>
      <c r="H8" s="40"/>
      <c r="I8" s="40"/>
    </row>
    <row r="9" spans="1:9" ht="27.9" customHeight="1">
      <c r="C9" s="50" t="s">
        <v>676</v>
      </c>
      <c r="D9" s="40"/>
      <c r="E9" s="40"/>
      <c r="F9" s="40"/>
      <c r="G9" s="40"/>
      <c r="H9" s="40"/>
      <c r="I9" s="40"/>
    </row>
    <row r="10" spans="1:9" ht="27.9" customHeight="1">
      <c r="C10" s="50" t="s">
        <v>677</v>
      </c>
      <c r="D10" s="40"/>
      <c r="E10" s="40"/>
      <c r="F10" s="40"/>
      <c r="G10" s="40"/>
      <c r="H10" s="40"/>
      <c r="I10" s="40"/>
    </row>
    <row r="11" spans="1:9" ht="27.9" customHeight="1">
      <c r="C11" s="50" t="s">
        <v>678</v>
      </c>
      <c r="D11" s="40"/>
      <c r="E11" s="40"/>
      <c r="F11" s="40"/>
      <c r="G11" s="40"/>
      <c r="H11" s="40"/>
      <c r="I11" s="40"/>
    </row>
    <row r="12" spans="1:9" ht="27.9" customHeight="1">
      <c r="C12" s="50" t="s">
        <v>679</v>
      </c>
      <c r="D12" s="40"/>
      <c r="E12" s="40"/>
      <c r="F12" s="40"/>
      <c r="G12" s="40"/>
      <c r="H12" s="40"/>
      <c r="I12" s="40"/>
    </row>
    <row r="13" spans="1:9" ht="27.9" customHeight="1">
      <c r="C13" s="50" t="s">
        <v>680</v>
      </c>
      <c r="D13" s="40"/>
      <c r="E13" s="40"/>
      <c r="F13" s="40"/>
      <c r="G13" s="40"/>
      <c r="H13" s="40"/>
      <c r="I13" s="40"/>
    </row>
    <row r="14" spans="1:9" ht="26.25" customHeight="1">
      <c r="C14" s="50" t="s">
        <v>681</v>
      </c>
      <c r="D14" s="40"/>
      <c r="E14" s="40"/>
      <c r="F14" s="40"/>
      <c r="G14" s="40"/>
      <c r="H14" s="40"/>
      <c r="I14" s="40"/>
    </row>
  </sheetData>
  <mergeCells count="3">
    <mergeCell ref="C4:I4"/>
    <mergeCell ref="C5:I5"/>
    <mergeCell ref="C6:I6"/>
  </mergeCells>
  <phoneticPr fontId="0" type="noConversion"/>
  <printOptions horizontalCentered="1"/>
  <pageMargins left="0.75" right="0.75" top="0.56999999999999995" bottom="0.72" header="0.45999999999999996" footer="0.51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Zeros="0" workbookViewId="0">
      <pane xSplit="4" ySplit="6" topLeftCell="E7" activePane="bottomRight" state="frozen"/>
      <selection pane="topRight"/>
      <selection pane="bottomLeft"/>
      <selection pane="bottomRight" activeCell="E6" sqref="E6"/>
    </sheetView>
  </sheetViews>
  <sheetFormatPr defaultColWidth="9.375" defaultRowHeight="10.8"/>
  <cols>
    <col min="1" max="1" width="32.625" customWidth="1"/>
    <col min="2" max="2" width="21.375" customWidth="1"/>
    <col min="3" max="3" width="20" customWidth="1"/>
    <col min="4" max="4" width="20.875" customWidth="1"/>
    <col min="5" max="5" width="20.375" customWidth="1"/>
    <col min="6" max="6" width="20" customWidth="1"/>
    <col min="7" max="30" width="12" customWidth="1"/>
  </cols>
  <sheetData>
    <row r="1" spans="1:9" ht="20.25" customHeight="1">
      <c r="A1" s="93" t="s">
        <v>682</v>
      </c>
      <c r="B1" s="93"/>
      <c r="C1" s="93"/>
      <c r="D1" s="93"/>
      <c r="E1" s="93"/>
      <c r="F1" s="93"/>
    </row>
    <row r="2" spans="1:9" ht="12.75" customHeight="1" thickBot="1">
      <c r="D2" t="s">
        <v>0</v>
      </c>
      <c r="F2" s="6" t="s">
        <v>1</v>
      </c>
    </row>
    <row r="3" spans="1:9" ht="13.5" customHeight="1">
      <c r="A3" s="94" t="s">
        <v>2</v>
      </c>
      <c r="B3" s="96" t="s">
        <v>633</v>
      </c>
      <c r="C3" s="96" t="s">
        <v>637</v>
      </c>
      <c r="D3" s="96" t="s">
        <v>634</v>
      </c>
      <c r="E3" s="98" t="s">
        <v>635</v>
      </c>
      <c r="F3" s="100" t="s">
        <v>636</v>
      </c>
    </row>
    <row r="4" spans="1:9" ht="13.5" customHeight="1">
      <c r="A4" s="95"/>
      <c r="B4" s="97"/>
      <c r="C4" s="97"/>
      <c r="D4" s="97"/>
      <c r="E4" s="99"/>
      <c r="F4" s="101" t="s">
        <v>3</v>
      </c>
    </row>
    <row r="5" spans="1:9" ht="20.100000000000001" customHeight="1">
      <c r="A5" s="35" t="s">
        <v>4</v>
      </c>
      <c r="B5" s="33">
        <f>B6+B21</f>
        <v>25014</v>
      </c>
      <c r="C5" s="33">
        <f>C6+C21</f>
        <v>34883</v>
      </c>
      <c r="D5" s="33">
        <f>D6+D21</f>
        <v>34006</v>
      </c>
      <c r="E5" s="34">
        <f>(D5-B5)/B5*100</f>
        <v>35.947869193251783</v>
      </c>
      <c r="F5" s="36">
        <f>D5/C5*100</f>
        <v>97.485881374881743</v>
      </c>
    </row>
    <row r="6" spans="1:9" ht="20.100000000000001" customHeight="1">
      <c r="A6" s="35" t="s">
        <v>5</v>
      </c>
      <c r="B6" s="33">
        <f>SUM(B7:B20)</f>
        <v>12561</v>
      </c>
      <c r="C6" s="33">
        <f>SUM(C7:C20)</f>
        <v>16071</v>
      </c>
      <c r="D6" s="33">
        <f>SUM(D7:D20)</f>
        <v>15942</v>
      </c>
      <c r="E6" s="34">
        <f t="shared" ref="E6:E30" si="0">(D6-B6)/B6*100</f>
        <v>26.916646763792691</v>
      </c>
      <c r="F6" s="36">
        <f t="shared" ref="F6:F30" si="1">D6/C6*100</f>
        <v>99.197311928318086</v>
      </c>
    </row>
    <row r="7" spans="1:9" ht="20.100000000000001" customHeight="1">
      <c r="A7" s="23" t="s">
        <v>6</v>
      </c>
      <c r="B7" s="90">
        <v>1478</v>
      </c>
      <c r="C7" s="1">
        <f>25491-23825</f>
        <v>1666</v>
      </c>
      <c r="D7" s="1">
        <f>27146-25340</f>
        <v>1806</v>
      </c>
      <c r="E7" s="32">
        <f t="shared" si="0"/>
        <v>22.192151556156968</v>
      </c>
      <c r="F7" s="37">
        <f t="shared" si="1"/>
        <v>108.40336134453781</v>
      </c>
      <c r="I7" s="49"/>
    </row>
    <row r="8" spans="1:9" ht="20.100000000000001" customHeight="1">
      <c r="A8" s="23" t="s">
        <v>7</v>
      </c>
      <c r="B8" s="74">
        <v>1889</v>
      </c>
      <c r="C8" s="1">
        <f>2800-2200</f>
        <v>600</v>
      </c>
      <c r="D8" s="1">
        <f>2379-1871</f>
        <v>508</v>
      </c>
      <c r="E8" s="32">
        <f t="shared" si="0"/>
        <v>-73.107464266807824</v>
      </c>
      <c r="F8" s="37">
        <f t="shared" si="1"/>
        <v>84.666666666666671</v>
      </c>
      <c r="I8" s="49"/>
    </row>
    <row r="9" spans="1:9" ht="20.100000000000001" customHeight="1">
      <c r="A9" s="23" t="s">
        <v>8</v>
      </c>
      <c r="B9" s="74">
        <v>1397</v>
      </c>
      <c r="C9" s="1">
        <f>3480-2300</f>
        <v>1180</v>
      </c>
      <c r="D9" s="1">
        <f>3267-2191</f>
        <v>1076</v>
      </c>
      <c r="E9" s="32">
        <f t="shared" si="0"/>
        <v>-22.977809591982819</v>
      </c>
      <c r="F9" s="37">
        <f t="shared" si="1"/>
        <v>91.18644067796609</v>
      </c>
      <c r="I9" s="49"/>
    </row>
    <row r="10" spans="1:9" ht="20.100000000000001" customHeight="1">
      <c r="A10" s="23" t="s">
        <v>9</v>
      </c>
      <c r="B10" s="90">
        <v>449</v>
      </c>
      <c r="C10" s="1">
        <f>600-300</f>
        <v>300</v>
      </c>
      <c r="D10" s="1">
        <f>617-308</f>
        <v>309</v>
      </c>
      <c r="E10" s="32">
        <f t="shared" si="0"/>
        <v>-31.180400890868597</v>
      </c>
      <c r="F10" s="37">
        <f t="shared" si="1"/>
        <v>103</v>
      </c>
      <c r="I10" s="49"/>
    </row>
    <row r="11" spans="1:9" ht="20.100000000000001" customHeight="1">
      <c r="A11" s="23" t="s">
        <v>10</v>
      </c>
      <c r="B11" s="90">
        <v>1585</v>
      </c>
      <c r="C11" s="1">
        <v>1750</v>
      </c>
      <c r="D11" s="1">
        <v>1881</v>
      </c>
      <c r="E11" s="32">
        <f t="shared" si="0"/>
        <v>18.67507886435331</v>
      </c>
      <c r="F11" s="37">
        <f t="shared" si="1"/>
        <v>107.48571428571429</v>
      </c>
      <c r="I11" s="49"/>
    </row>
    <row r="12" spans="1:9" ht="20.100000000000001" customHeight="1">
      <c r="A12" s="23" t="s">
        <v>11</v>
      </c>
      <c r="B12" s="74">
        <v>396</v>
      </c>
      <c r="C12" s="1">
        <f>1100-606</f>
        <v>494</v>
      </c>
      <c r="D12" s="1">
        <f>988-559</f>
        <v>429</v>
      </c>
      <c r="E12" s="32">
        <f t="shared" si="0"/>
        <v>8.3333333333333321</v>
      </c>
      <c r="F12" s="37">
        <f t="shared" si="1"/>
        <v>86.842105263157904</v>
      </c>
      <c r="I12" s="49"/>
    </row>
    <row r="13" spans="1:9" ht="20.100000000000001" customHeight="1">
      <c r="A13" s="23" t="s">
        <v>12</v>
      </c>
      <c r="B13" s="74">
        <v>35</v>
      </c>
      <c r="C13" s="1">
        <f>1600-1500</f>
        <v>100</v>
      </c>
      <c r="D13" s="1">
        <f>1700-1394</f>
        <v>306</v>
      </c>
      <c r="E13" s="32">
        <f t="shared" si="0"/>
        <v>774.28571428571433</v>
      </c>
      <c r="F13" s="37">
        <f t="shared" si="1"/>
        <v>306</v>
      </c>
      <c r="I13" s="49"/>
    </row>
    <row r="14" spans="1:9" ht="20.100000000000001" customHeight="1">
      <c r="A14" s="23" t="s">
        <v>13</v>
      </c>
      <c r="B14" s="74">
        <v>121</v>
      </c>
      <c r="C14" s="1">
        <f>905-720</f>
        <v>185</v>
      </c>
      <c r="D14" s="1">
        <f>902-745</f>
        <v>157</v>
      </c>
      <c r="E14" s="32">
        <f t="shared" si="0"/>
        <v>29.75206611570248</v>
      </c>
      <c r="F14" s="37">
        <f t="shared" si="1"/>
        <v>84.86486486486487</v>
      </c>
      <c r="I14" s="49"/>
    </row>
    <row r="15" spans="1:9" ht="20.100000000000001" customHeight="1">
      <c r="A15" s="23" t="s">
        <v>14</v>
      </c>
      <c r="B15" s="74">
        <v>153</v>
      </c>
      <c r="C15" s="1">
        <f>426-240</f>
        <v>186</v>
      </c>
      <c r="D15" s="1">
        <f>386-236</f>
        <v>150</v>
      </c>
      <c r="E15" s="32">
        <f t="shared" si="0"/>
        <v>-1.9607843137254901</v>
      </c>
      <c r="F15" s="37">
        <f t="shared" si="1"/>
        <v>80.645161290322577</v>
      </c>
      <c r="I15" s="49"/>
    </row>
    <row r="16" spans="1:9" ht="20.100000000000001" customHeight="1">
      <c r="A16" s="23" t="s">
        <v>15</v>
      </c>
      <c r="B16" s="74">
        <v>4841</v>
      </c>
      <c r="C16" s="1">
        <f>8408-8</f>
        <v>8400</v>
      </c>
      <c r="D16" s="1">
        <f>8579-8</f>
        <v>8571</v>
      </c>
      <c r="E16" s="32">
        <f t="shared" si="0"/>
        <v>77.050196240446184</v>
      </c>
      <c r="F16" s="37">
        <f t="shared" si="1"/>
        <v>102.03571428571429</v>
      </c>
      <c r="I16" s="49"/>
    </row>
    <row r="17" spans="1:9" ht="20.100000000000001" customHeight="1">
      <c r="A17" s="23" t="s">
        <v>16</v>
      </c>
      <c r="B17" s="74"/>
      <c r="C17" s="1">
        <f>848</f>
        <v>848</v>
      </c>
      <c r="D17" s="1">
        <f>496-100</f>
        <v>396</v>
      </c>
      <c r="E17" s="32"/>
      <c r="F17" s="37">
        <f t="shared" si="1"/>
        <v>46.698113207547173</v>
      </c>
      <c r="I17" s="49"/>
    </row>
    <row r="18" spans="1:9" ht="20.100000000000001" customHeight="1">
      <c r="A18" s="23" t="s">
        <v>17</v>
      </c>
      <c r="B18" s="74">
        <v>194</v>
      </c>
      <c r="C18" s="1">
        <f>1030-730</f>
        <v>300</v>
      </c>
      <c r="D18" s="1">
        <f>1029-728</f>
        <v>301</v>
      </c>
      <c r="E18" s="32">
        <f t="shared" si="0"/>
        <v>55.154639175257735</v>
      </c>
      <c r="F18" s="37">
        <f t="shared" si="1"/>
        <v>100.33333333333334</v>
      </c>
      <c r="I18" s="49"/>
    </row>
    <row r="19" spans="1:9" ht="20.100000000000001" customHeight="1">
      <c r="A19" s="23" t="s">
        <v>18</v>
      </c>
      <c r="B19" s="74">
        <v>23</v>
      </c>
      <c r="C19" s="1">
        <v>50</v>
      </c>
      <c r="D19" s="1">
        <v>40</v>
      </c>
      <c r="E19" s="32">
        <f t="shared" si="0"/>
        <v>73.91304347826086</v>
      </c>
      <c r="F19" s="37">
        <f t="shared" si="1"/>
        <v>80</v>
      </c>
      <c r="I19" s="49"/>
    </row>
    <row r="20" spans="1:9" ht="20.100000000000001" customHeight="1">
      <c r="A20" s="23" t="s">
        <v>19</v>
      </c>
      <c r="B20" s="91"/>
      <c r="C20" s="1">
        <v>12</v>
      </c>
      <c r="D20" s="1">
        <v>12</v>
      </c>
      <c r="E20" s="32"/>
      <c r="F20" s="37">
        <f t="shared" si="1"/>
        <v>100</v>
      </c>
      <c r="I20" s="49"/>
    </row>
    <row r="21" spans="1:9" ht="20.100000000000001" customHeight="1">
      <c r="A21" s="35" t="s">
        <v>20</v>
      </c>
      <c r="B21" s="33">
        <f>B22+B26+B27+B28+B29+B30</f>
        <v>12453</v>
      </c>
      <c r="C21" s="33">
        <f>C22+C26+C27+C28+C29+C30</f>
        <v>18812</v>
      </c>
      <c r="D21" s="33">
        <f>D22+D26+D27+D28+D29+D30</f>
        <v>18064</v>
      </c>
      <c r="E21" s="34">
        <f t="shared" si="0"/>
        <v>45.057415883722797</v>
      </c>
      <c r="F21" s="36">
        <f t="shared" si="1"/>
        <v>96.023814586434185</v>
      </c>
      <c r="I21" s="49"/>
    </row>
    <row r="22" spans="1:9" ht="20.100000000000001" customHeight="1">
      <c r="A22" s="23" t="s">
        <v>21</v>
      </c>
      <c r="B22" s="1">
        <f>B23+B25+B24</f>
        <v>2161</v>
      </c>
      <c r="C22" s="1">
        <f>C23+C25+C24</f>
        <v>2400</v>
      </c>
      <c r="D22" s="1">
        <f>D23+D25+D24</f>
        <v>2577</v>
      </c>
      <c r="E22" s="32">
        <f t="shared" si="0"/>
        <v>19.250347061545583</v>
      </c>
      <c r="F22" s="37">
        <f t="shared" si="1"/>
        <v>107.375</v>
      </c>
      <c r="I22" s="49"/>
    </row>
    <row r="23" spans="1:9" ht="22.2" customHeight="1">
      <c r="A23" s="23" t="s">
        <v>22</v>
      </c>
      <c r="B23" s="74">
        <v>1343</v>
      </c>
      <c r="C23" s="1">
        <v>1500</v>
      </c>
      <c r="D23" s="1">
        <v>1616</v>
      </c>
      <c r="E23" s="32">
        <f t="shared" si="0"/>
        <v>20.327624720774388</v>
      </c>
      <c r="F23" s="37">
        <f t="shared" si="1"/>
        <v>107.73333333333332</v>
      </c>
    </row>
    <row r="24" spans="1:9" ht="20.100000000000001" customHeight="1">
      <c r="A24" s="23" t="s">
        <v>23</v>
      </c>
      <c r="B24" s="73">
        <v>802</v>
      </c>
      <c r="C24" s="1">
        <v>900</v>
      </c>
      <c r="D24" s="1">
        <v>937</v>
      </c>
      <c r="E24" s="32">
        <f t="shared" si="0"/>
        <v>16.83291770573566</v>
      </c>
      <c r="F24" s="37">
        <f t="shared" si="1"/>
        <v>104.11111111111111</v>
      </c>
    </row>
    <row r="25" spans="1:9" ht="20.100000000000001" customHeight="1">
      <c r="A25" s="23" t="s">
        <v>24</v>
      </c>
      <c r="B25" s="73">
        <v>16</v>
      </c>
      <c r="C25" s="1">
        <v>0</v>
      </c>
      <c r="D25" s="1">
        <v>24</v>
      </c>
      <c r="E25" s="32">
        <f t="shared" si="0"/>
        <v>50</v>
      </c>
      <c r="F25" s="37" t="e">
        <f t="shared" si="1"/>
        <v>#DIV/0!</v>
      </c>
    </row>
    <row r="26" spans="1:9" ht="20.100000000000001" customHeight="1">
      <c r="A26" s="23" t="s">
        <v>25</v>
      </c>
      <c r="B26" s="74">
        <v>735</v>
      </c>
      <c r="C26" s="1">
        <v>800</v>
      </c>
      <c r="D26" s="1">
        <v>933</v>
      </c>
      <c r="E26" s="32">
        <f t="shared" si="0"/>
        <v>26.938775510204081</v>
      </c>
      <c r="F26" s="37">
        <f t="shared" si="1"/>
        <v>116.625</v>
      </c>
    </row>
    <row r="27" spans="1:9" ht="20.100000000000001" customHeight="1">
      <c r="A27" s="23" t="s">
        <v>26</v>
      </c>
      <c r="B27" s="74">
        <v>1526</v>
      </c>
      <c r="C27" s="1">
        <f>1600-93</f>
        <v>1507</v>
      </c>
      <c r="D27" s="1">
        <f>1602-61</f>
        <v>1541</v>
      </c>
      <c r="E27" s="32">
        <f t="shared" si="0"/>
        <v>0.98296199213630409</v>
      </c>
      <c r="F27" s="37">
        <f t="shared" si="1"/>
        <v>102.25613802256137</v>
      </c>
    </row>
    <row r="28" spans="1:9" ht="22.5" customHeight="1">
      <c r="A28" s="23" t="s">
        <v>27</v>
      </c>
      <c r="B28" s="73">
        <v>7806</v>
      </c>
      <c r="C28" s="1">
        <f>14220-230</f>
        <v>13990</v>
      </c>
      <c r="D28" s="1">
        <f>13135-237</f>
        <v>12898</v>
      </c>
      <c r="E28" s="32">
        <f t="shared" si="0"/>
        <v>65.231872918267996</v>
      </c>
      <c r="F28" s="37">
        <f t="shared" si="1"/>
        <v>92.194424588992135</v>
      </c>
    </row>
    <row r="29" spans="1:9" ht="22.5" customHeight="1">
      <c r="A29" s="23" t="s">
        <v>28</v>
      </c>
      <c r="B29" s="73">
        <v>10</v>
      </c>
      <c r="C29" s="1">
        <v>115</v>
      </c>
      <c r="D29" s="1">
        <v>115</v>
      </c>
      <c r="E29" s="32">
        <f t="shared" si="0"/>
        <v>1050</v>
      </c>
      <c r="F29" s="37">
        <f t="shared" si="1"/>
        <v>100</v>
      </c>
    </row>
    <row r="30" spans="1:9" ht="19.5" customHeight="1" thickBot="1">
      <c r="A30" s="24" t="s">
        <v>29</v>
      </c>
      <c r="B30" s="25">
        <v>215</v>
      </c>
      <c r="C30" s="25"/>
      <c r="D30" s="25"/>
      <c r="E30" s="38">
        <f t="shared" si="0"/>
        <v>-100</v>
      </c>
      <c r="F30" s="37" t="e">
        <f t="shared" si="1"/>
        <v>#DIV/0!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0" type="noConversion"/>
  <printOptions horizontalCentered="1" verticalCentered="1"/>
  <pageMargins left="0.52" right="0.31" top="0.36" bottom="0.32" header="0.19" footer="0.22"/>
  <pageSetup paperSize="9" scale="98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6"/>
  <sheetViews>
    <sheetView showZeros="0" tabSelected="1" workbookViewId="0">
      <pane xSplit="2" ySplit="4" topLeftCell="C533" activePane="bottomRight" state="frozen"/>
      <selection pane="topRight"/>
      <selection pane="bottomLeft"/>
      <selection pane="bottomRight" activeCell="K9" sqref="K9"/>
    </sheetView>
  </sheetViews>
  <sheetFormatPr defaultColWidth="9.125" defaultRowHeight="12.75" customHeight="1"/>
  <cols>
    <col min="1" max="1" width="36.125" customWidth="1"/>
    <col min="2" max="2" width="18.375" customWidth="1"/>
    <col min="3" max="3" width="18.375" style="88" customWidth="1"/>
    <col min="4" max="4" width="17.625" customWidth="1"/>
    <col min="5" max="5" width="21.875" customWidth="1"/>
    <col min="6" max="6" width="16.125" customWidth="1"/>
    <col min="7" max="7" width="0.875" customWidth="1"/>
    <col min="8" max="147" width="6.625" customWidth="1"/>
    <col min="148" max="203" width="9.125" customWidth="1"/>
  </cols>
  <sheetData>
    <row r="1" spans="1:6" ht="32.25" customHeight="1">
      <c r="A1" s="93" t="s">
        <v>695</v>
      </c>
      <c r="B1" s="93"/>
      <c r="C1" s="93"/>
      <c r="D1" s="93"/>
      <c r="E1" s="93"/>
      <c r="F1" s="93"/>
    </row>
    <row r="2" spans="1:6" ht="17.25" customHeight="1">
      <c r="F2" t="s">
        <v>1</v>
      </c>
    </row>
    <row r="3" spans="1:6" ht="25.5" customHeight="1">
      <c r="A3" s="97" t="s">
        <v>30</v>
      </c>
      <c r="B3" s="97" t="s">
        <v>638</v>
      </c>
      <c r="C3" s="97" t="s">
        <v>659</v>
      </c>
      <c r="D3" s="97" t="s">
        <v>598</v>
      </c>
      <c r="E3" s="102" t="s">
        <v>661</v>
      </c>
      <c r="F3" s="102" t="s">
        <v>662</v>
      </c>
    </row>
    <row r="4" spans="1:6" ht="25.5" customHeight="1">
      <c r="A4" s="97"/>
      <c r="B4" s="97"/>
      <c r="C4" s="97"/>
      <c r="D4" s="97"/>
      <c r="E4" s="99"/>
      <c r="F4" s="99" t="s">
        <v>3</v>
      </c>
    </row>
    <row r="5" spans="1:6" ht="20.25" customHeight="1">
      <c r="A5" s="3" t="s">
        <v>31</v>
      </c>
      <c r="B5" s="3">
        <f>B6+B114+B118+B146+B171+B185+B209+B291+B335+B363+B379+B470+B485+B500+B507+B524+B534+B544+B566+B570+B574</f>
        <v>216900</v>
      </c>
      <c r="C5" s="75">
        <f>C6+C114+C118+C146+C171+C185+C209+C291+C335+C363+C379+C470+C485+C500+C507+C524+C534+C544+C564+C566+C570+C574</f>
        <v>227687</v>
      </c>
      <c r="D5" s="3">
        <f>D6+D114+D118+D146+D171+D185+D209+D291+D335+D363+D379+D470+D485+D500+D507+D524+D534+D544+D566+D570+D574</f>
        <v>224260</v>
      </c>
      <c r="E5" s="21">
        <f>(B5-D5)/D5*100</f>
        <v>-3.2819049317756179</v>
      </c>
      <c r="F5" s="21">
        <f>B5/C5*100</f>
        <v>95.262355777888061</v>
      </c>
    </row>
    <row r="6" spans="1:6" ht="20.25" customHeight="1">
      <c r="A6" s="3" t="s">
        <v>32</v>
      </c>
      <c r="B6" s="3">
        <f>B7+B15+B21+B26+B33+B38+B44+B47+B52+B58+B62+B68+B72+B75+B78+B82+B85+B91+B95+B99+B102+B112</f>
        <v>11680</v>
      </c>
      <c r="C6" s="75">
        <f>C7+C15+C21+C26+C33+C38+C44+C47+C52+C58+C62+C68+C72+C75+C78+C82+C85+C91+C95+C99+C102+C112</f>
        <v>12520</v>
      </c>
      <c r="D6" s="3">
        <f>D7+D15+D21+D26+D33+D38+D44+D47+D52+D58+D62+D68+D72+D75+D78+D82+D85+D91+D95+D99+D102+D112</f>
        <v>14334</v>
      </c>
      <c r="E6" s="21">
        <f t="shared" ref="E6:E69" si="0">(B6-D6)/D6*100</f>
        <v>-18.515417887540114</v>
      </c>
      <c r="F6" s="21">
        <f t="shared" ref="F6:F69" si="1">B6/C6*100</f>
        <v>93.290734824281145</v>
      </c>
    </row>
    <row r="7" spans="1:6" ht="20.25" customHeight="1">
      <c r="A7" s="3" t="s">
        <v>33</v>
      </c>
      <c r="B7" s="3">
        <f>SUM(B8:B13)</f>
        <v>305</v>
      </c>
      <c r="C7" s="75">
        <f>SUM(C8:C14)</f>
        <v>343</v>
      </c>
      <c r="D7" s="3">
        <f>SUM(D8:D14)</f>
        <v>244</v>
      </c>
      <c r="E7" s="21">
        <f t="shared" si="0"/>
        <v>25</v>
      </c>
      <c r="F7" s="21">
        <f t="shared" si="1"/>
        <v>88.921282798833829</v>
      </c>
    </row>
    <row r="8" spans="1:6" ht="20.25" customHeight="1">
      <c r="A8" s="3" t="s">
        <v>34</v>
      </c>
      <c r="B8" s="3">
        <v>259</v>
      </c>
      <c r="C8" s="75">
        <v>281</v>
      </c>
      <c r="D8" s="3">
        <v>218</v>
      </c>
      <c r="E8" s="21">
        <f t="shared" si="0"/>
        <v>18.807339449541285</v>
      </c>
      <c r="F8" s="21">
        <f t="shared" si="1"/>
        <v>92.170818505338076</v>
      </c>
    </row>
    <row r="9" spans="1:6" ht="20.25" customHeight="1">
      <c r="A9" s="3" t="s">
        <v>35</v>
      </c>
      <c r="B9" s="3">
        <v>10</v>
      </c>
      <c r="C9" s="75">
        <v>10</v>
      </c>
      <c r="D9" s="3"/>
      <c r="E9" s="21" t="e">
        <f t="shared" si="0"/>
        <v>#DIV/0!</v>
      </c>
      <c r="F9" s="21">
        <f t="shared" si="1"/>
        <v>100</v>
      </c>
    </row>
    <row r="10" spans="1:6" ht="20.25" customHeight="1">
      <c r="A10" s="3" t="s">
        <v>36</v>
      </c>
      <c r="B10" s="3">
        <v>23</v>
      </c>
      <c r="C10" s="75">
        <v>30</v>
      </c>
      <c r="D10" s="3">
        <v>18</v>
      </c>
      <c r="E10" s="21">
        <f t="shared" si="0"/>
        <v>27.777777777777779</v>
      </c>
      <c r="F10" s="21">
        <f t="shared" si="1"/>
        <v>76.666666666666671</v>
      </c>
    </row>
    <row r="11" spans="1:6" ht="20.25" customHeight="1">
      <c r="A11" s="3" t="s">
        <v>37</v>
      </c>
      <c r="B11" s="3"/>
      <c r="C11" s="75"/>
      <c r="D11" s="3">
        <v>3</v>
      </c>
      <c r="E11" s="21">
        <f t="shared" si="0"/>
        <v>-100</v>
      </c>
      <c r="F11" s="21" t="e">
        <f t="shared" si="1"/>
        <v>#DIV/0!</v>
      </c>
    </row>
    <row r="12" spans="1:6" ht="20.25" customHeight="1">
      <c r="A12" s="3" t="s">
        <v>38</v>
      </c>
      <c r="B12" s="3"/>
      <c r="C12" s="75"/>
      <c r="D12" s="3"/>
      <c r="E12" s="21" t="e">
        <f t="shared" si="0"/>
        <v>#DIV/0!</v>
      </c>
      <c r="F12" s="21" t="e">
        <f t="shared" si="1"/>
        <v>#DIV/0!</v>
      </c>
    </row>
    <row r="13" spans="1:6" ht="20.25" customHeight="1">
      <c r="A13" s="3" t="s">
        <v>39</v>
      </c>
      <c r="B13" s="3">
        <v>13</v>
      </c>
      <c r="C13" s="75">
        <v>20</v>
      </c>
      <c r="D13" s="3">
        <v>5</v>
      </c>
      <c r="E13" s="21">
        <f t="shared" si="0"/>
        <v>160</v>
      </c>
      <c r="F13" s="21">
        <f t="shared" si="1"/>
        <v>65</v>
      </c>
    </row>
    <row r="14" spans="1:6" ht="20.25" customHeight="1">
      <c r="A14" s="3" t="s">
        <v>599</v>
      </c>
      <c r="B14" s="3"/>
      <c r="C14" s="75">
        <v>2</v>
      </c>
      <c r="D14" s="3"/>
      <c r="E14" s="21" t="e">
        <f t="shared" si="0"/>
        <v>#DIV/0!</v>
      </c>
      <c r="F14" s="21">
        <f t="shared" si="1"/>
        <v>0</v>
      </c>
    </row>
    <row r="15" spans="1:6" ht="20.25" customHeight="1">
      <c r="A15" s="3" t="s">
        <v>40</v>
      </c>
      <c r="B15" s="3">
        <f>SUM(B16:B20)</f>
        <v>221</v>
      </c>
      <c r="C15" s="75">
        <f>SUM(C16:C20)</f>
        <v>217</v>
      </c>
      <c r="D15" s="3">
        <f>SUM(D16:D20)</f>
        <v>196</v>
      </c>
      <c r="E15" s="21">
        <f t="shared" si="0"/>
        <v>12.755102040816327</v>
      </c>
      <c r="F15" s="21">
        <f t="shared" si="1"/>
        <v>101.84331797235022</v>
      </c>
    </row>
    <row r="16" spans="1:6" ht="23.25" customHeight="1">
      <c r="A16" s="3" t="s">
        <v>34</v>
      </c>
      <c r="B16" s="3">
        <v>167</v>
      </c>
      <c r="C16" s="75">
        <v>163</v>
      </c>
      <c r="D16" s="3">
        <v>164</v>
      </c>
      <c r="E16" s="21">
        <f t="shared" si="0"/>
        <v>1.8292682926829267</v>
      </c>
      <c r="F16" s="21">
        <f t="shared" si="1"/>
        <v>102.45398773006136</v>
      </c>
    </row>
    <row r="17" spans="1:6" ht="23.25" customHeight="1">
      <c r="A17" s="3" t="s">
        <v>35</v>
      </c>
      <c r="B17" s="3">
        <v>14</v>
      </c>
      <c r="C17" s="75">
        <v>14</v>
      </c>
      <c r="D17" s="3">
        <v>4</v>
      </c>
      <c r="E17" s="21">
        <f t="shared" si="0"/>
        <v>250</v>
      </c>
      <c r="F17" s="21">
        <f t="shared" si="1"/>
        <v>100</v>
      </c>
    </row>
    <row r="18" spans="1:6" ht="20.25" customHeight="1">
      <c r="A18" s="3" t="s">
        <v>41</v>
      </c>
      <c r="B18" s="3">
        <v>20</v>
      </c>
      <c r="C18" s="75">
        <v>20</v>
      </c>
      <c r="D18" s="3">
        <v>18</v>
      </c>
      <c r="E18" s="21">
        <f t="shared" si="0"/>
        <v>11.111111111111111</v>
      </c>
      <c r="F18" s="21">
        <f t="shared" si="1"/>
        <v>100</v>
      </c>
    </row>
    <row r="19" spans="1:6" ht="20.25" customHeight="1">
      <c r="A19" s="3" t="s">
        <v>42</v>
      </c>
      <c r="B19" s="3">
        <v>20</v>
      </c>
      <c r="C19" s="75">
        <v>20</v>
      </c>
      <c r="D19" s="3">
        <v>5</v>
      </c>
      <c r="E19" s="21">
        <f t="shared" si="0"/>
        <v>300</v>
      </c>
      <c r="F19" s="21">
        <f t="shared" si="1"/>
        <v>100</v>
      </c>
    </row>
    <row r="20" spans="1:6" ht="20.25" customHeight="1">
      <c r="A20" s="3" t="s">
        <v>43</v>
      </c>
      <c r="B20" s="3"/>
      <c r="C20" s="75"/>
      <c r="D20" s="3">
        <v>5</v>
      </c>
      <c r="E20" s="21">
        <f t="shared" si="0"/>
        <v>-100</v>
      </c>
      <c r="F20" s="21" t="e">
        <f t="shared" si="1"/>
        <v>#DIV/0!</v>
      </c>
    </row>
    <row r="21" spans="1:6" ht="20.25" customHeight="1">
      <c r="A21" s="3" t="s">
        <v>44</v>
      </c>
      <c r="B21" s="3">
        <f>SUM(B22:B25)</f>
        <v>1465</v>
      </c>
      <c r="C21" s="75">
        <f>SUM(C22:C25)</f>
        <v>1663</v>
      </c>
      <c r="D21" s="3">
        <f>SUM(D22:D25)</f>
        <v>810</v>
      </c>
      <c r="E21" s="21">
        <f t="shared" si="0"/>
        <v>80.864197530864203</v>
      </c>
      <c r="F21" s="21">
        <f t="shared" si="1"/>
        <v>88.093806374022847</v>
      </c>
    </row>
    <row r="22" spans="1:6" ht="20.25" customHeight="1">
      <c r="A22" s="3" t="s">
        <v>34</v>
      </c>
      <c r="B22" s="3">
        <f>6922-6043</f>
        <v>879</v>
      </c>
      <c r="C22" s="75">
        <f>6702-5626</f>
        <v>1076</v>
      </c>
      <c r="D22" s="3">
        <v>384</v>
      </c>
      <c r="E22" s="21">
        <f t="shared" si="0"/>
        <v>128.90625</v>
      </c>
      <c r="F22" s="21">
        <f t="shared" si="1"/>
        <v>81.6914498141264</v>
      </c>
    </row>
    <row r="23" spans="1:6" ht="20.25" customHeight="1">
      <c r="A23" s="3" t="s">
        <v>35</v>
      </c>
      <c r="B23" s="3">
        <f>610-118</f>
        <v>492</v>
      </c>
      <c r="C23" s="75">
        <f>610-118</f>
        <v>492</v>
      </c>
      <c r="D23" s="3">
        <v>336</v>
      </c>
      <c r="E23" s="21">
        <f t="shared" si="0"/>
        <v>46.428571428571431</v>
      </c>
      <c r="F23" s="21">
        <f t="shared" si="1"/>
        <v>100</v>
      </c>
    </row>
    <row r="24" spans="1:6" ht="20.25" customHeight="1">
      <c r="A24" s="3" t="s">
        <v>45</v>
      </c>
      <c r="B24" s="3">
        <v>94</v>
      </c>
      <c r="C24" s="75">
        <v>95</v>
      </c>
      <c r="D24" s="3">
        <v>74</v>
      </c>
      <c r="E24" s="21">
        <f t="shared" si="0"/>
        <v>27.027027027027028</v>
      </c>
      <c r="F24" s="21">
        <f t="shared" si="1"/>
        <v>98.94736842105263</v>
      </c>
    </row>
    <row r="25" spans="1:6" ht="20.25" customHeight="1">
      <c r="A25" s="3" t="s">
        <v>46</v>
      </c>
      <c r="B25" s="3"/>
      <c r="C25" s="75"/>
      <c r="D25" s="3">
        <v>16</v>
      </c>
      <c r="E25" s="21">
        <f t="shared" si="0"/>
        <v>-100</v>
      </c>
      <c r="F25" s="21" t="e">
        <f t="shared" si="1"/>
        <v>#DIV/0!</v>
      </c>
    </row>
    <row r="26" spans="1:6" ht="20.25" customHeight="1">
      <c r="A26" s="3" t="s">
        <v>47</v>
      </c>
      <c r="B26" s="3">
        <f>SUM(B27:B32)</f>
        <v>197</v>
      </c>
      <c r="C26" s="75">
        <f>SUM(C27:C32)</f>
        <v>237</v>
      </c>
      <c r="D26" s="3">
        <f>SUM(D27:D32)</f>
        <v>254</v>
      </c>
      <c r="E26" s="21">
        <f t="shared" si="0"/>
        <v>-22.440944881889763</v>
      </c>
      <c r="F26" s="21">
        <f t="shared" si="1"/>
        <v>83.122362869198312</v>
      </c>
    </row>
    <row r="27" spans="1:6" ht="20.25" customHeight="1">
      <c r="A27" s="3" t="s">
        <v>34</v>
      </c>
      <c r="B27" s="3">
        <v>166</v>
      </c>
      <c r="C27" s="75">
        <v>170</v>
      </c>
      <c r="D27" s="3">
        <v>160</v>
      </c>
      <c r="E27" s="21">
        <f t="shared" si="0"/>
        <v>3.75</v>
      </c>
      <c r="F27" s="21">
        <f t="shared" si="1"/>
        <v>97.647058823529406</v>
      </c>
    </row>
    <row r="28" spans="1:6" ht="20.25" customHeight="1">
      <c r="A28" s="3" t="s">
        <v>35</v>
      </c>
      <c r="B28" s="3"/>
      <c r="C28" s="75"/>
      <c r="D28" s="3"/>
      <c r="E28" s="21" t="e">
        <f t="shared" si="0"/>
        <v>#DIV/0!</v>
      </c>
      <c r="F28" s="21" t="e">
        <f t="shared" si="1"/>
        <v>#DIV/0!</v>
      </c>
    </row>
    <row r="29" spans="1:6" ht="20.25" customHeight="1">
      <c r="A29" s="3" t="s">
        <v>48</v>
      </c>
      <c r="B29" s="3"/>
      <c r="C29" s="75"/>
      <c r="D29" s="3"/>
      <c r="E29" s="21" t="e">
        <f t="shared" si="0"/>
        <v>#DIV/0!</v>
      </c>
      <c r="F29" s="21" t="e">
        <f t="shared" si="1"/>
        <v>#DIV/0!</v>
      </c>
    </row>
    <row r="30" spans="1:6" ht="20.25" customHeight="1">
      <c r="A30" s="3" t="s">
        <v>49</v>
      </c>
      <c r="B30" s="3"/>
      <c r="C30" s="75"/>
      <c r="D30" s="3"/>
      <c r="E30" s="21" t="e">
        <f t="shared" si="0"/>
        <v>#DIV/0!</v>
      </c>
      <c r="F30" s="21" t="e">
        <f t="shared" si="1"/>
        <v>#DIV/0!</v>
      </c>
    </row>
    <row r="31" spans="1:6" ht="20.25" customHeight="1">
      <c r="A31" s="3" t="s">
        <v>46</v>
      </c>
      <c r="B31" s="3"/>
      <c r="C31" s="75"/>
      <c r="D31" s="3">
        <v>11</v>
      </c>
      <c r="E31" s="21">
        <f t="shared" si="0"/>
        <v>-100</v>
      </c>
      <c r="F31" s="21" t="e">
        <f t="shared" si="1"/>
        <v>#DIV/0!</v>
      </c>
    </row>
    <row r="32" spans="1:6" ht="20.25" customHeight="1">
      <c r="A32" s="3" t="s">
        <v>50</v>
      </c>
      <c r="B32" s="3">
        <v>31</v>
      </c>
      <c r="C32" s="75">
        <f>64+3</f>
        <v>67</v>
      </c>
      <c r="D32" s="3">
        <v>83</v>
      </c>
      <c r="E32" s="21">
        <f t="shared" si="0"/>
        <v>-62.650602409638559</v>
      </c>
      <c r="F32" s="21">
        <f t="shared" si="1"/>
        <v>46.268656716417908</v>
      </c>
    </row>
    <row r="33" spans="1:7" ht="20.25" customHeight="1">
      <c r="A33" s="3" t="s">
        <v>51</v>
      </c>
      <c r="B33" s="3">
        <f>SUM(B34:B37)</f>
        <v>169</v>
      </c>
      <c r="C33" s="75">
        <f>SUM(C34:C37)</f>
        <v>169</v>
      </c>
      <c r="D33" s="3">
        <f>SUM(D34:D37)</f>
        <v>158</v>
      </c>
      <c r="E33" s="21">
        <f t="shared" si="0"/>
        <v>6.962025316455696</v>
      </c>
      <c r="F33" s="21">
        <f t="shared" si="1"/>
        <v>100</v>
      </c>
    </row>
    <row r="34" spans="1:7" ht="20.25" customHeight="1">
      <c r="A34" s="3" t="s">
        <v>34</v>
      </c>
      <c r="B34" s="3">
        <v>88</v>
      </c>
      <c r="C34" s="75">
        <v>90</v>
      </c>
      <c r="D34" s="3">
        <v>81</v>
      </c>
      <c r="E34" s="21">
        <f t="shared" si="0"/>
        <v>8.6419753086419746</v>
      </c>
      <c r="F34" s="21">
        <f t="shared" si="1"/>
        <v>97.777777777777771</v>
      </c>
    </row>
    <row r="35" spans="1:7" ht="20.25" customHeight="1">
      <c r="A35" s="3" t="s">
        <v>35</v>
      </c>
      <c r="B35" s="3"/>
      <c r="C35" s="75"/>
      <c r="D35" s="3"/>
      <c r="E35" s="21" t="e">
        <f t="shared" si="0"/>
        <v>#DIV/0!</v>
      </c>
      <c r="F35" s="21" t="e">
        <f t="shared" si="1"/>
        <v>#DIV/0!</v>
      </c>
    </row>
    <row r="36" spans="1:7" ht="20.25" customHeight="1">
      <c r="A36" s="3" t="s">
        <v>52</v>
      </c>
      <c r="B36" s="3">
        <v>81</v>
      </c>
      <c r="C36" s="75">
        <f>47+32</f>
        <v>79</v>
      </c>
      <c r="D36" s="3">
        <v>77</v>
      </c>
      <c r="E36" s="21">
        <f t="shared" si="0"/>
        <v>5.1948051948051948</v>
      </c>
      <c r="F36" s="21">
        <f t="shared" si="1"/>
        <v>102.53164556962024</v>
      </c>
    </row>
    <row r="37" spans="1:7" ht="20.25" customHeight="1">
      <c r="A37" s="3" t="s">
        <v>46</v>
      </c>
      <c r="B37" s="3"/>
      <c r="C37" s="75"/>
      <c r="D37" s="3"/>
      <c r="E37" s="21" t="e">
        <f t="shared" si="0"/>
        <v>#DIV/0!</v>
      </c>
      <c r="F37" s="21" t="e">
        <f t="shared" si="1"/>
        <v>#DIV/0!</v>
      </c>
    </row>
    <row r="38" spans="1:7" ht="20.25" customHeight="1">
      <c r="A38" s="3" t="s">
        <v>53</v>
      </c>
      <c r="B38" s="3">
        <f>SUM(B39:B43)</f>
        <v>1038</v>
      </c>
      <c r="C38" s="75">
        <f>SUM(C39:C43)</f>
        <v>1016</v>
      </c>
      <c r="D38" s="3">
        <f>SUM(D39:D43)</f>
        <v>700</v>
      </c>
      <c r="E38" s="21">
        <f t="shared" si="0"/>
        <v>48.285714285714285</v>
      </c>
      <c r="F38" s="21">
        <f t="shared" si="1"/>
        <v>102.16535433070865</v>
      </c>
    </row>
    <row r="39" spans="1:7" ht="20.25" customHeight="1">
      <c r="A39" s="3" t="s">
        <v>34</v>
      </c>
      <c r="B39" s="3">
        <v>335</v>
      </c>
      <c r="C39" s="75">
        <v>336</v>
      </c>
      <c r="D39" s="3">
        <v>314</v>
      </c>
      <c r="E39" s="21">
        <f t="shared" si="0"/>
        <v>6.6878980891719744</v>
      </c>
      <c r="F39" s="21">
        <f t="shared" si="1"/>
        <v>99.702380952380949</v>
      </c>
    </row>
    <row r="40" spans="1:7" ht="20.25" customHeight="1">
      <c r="A40" s="3" t="s">
        <v>35</v>
      </c>
      <c r="B40" s="3">
        <v>443</v>
      </c>
      <c r="C40" s="75">
        <v>443</v>
      </c>
      <c r="D40" s="3">
        <v>147</v>
      </c>
      <c r="E40" s="21">
        <f t="shared" si="0"/>
        <v>201.36054421768708</v>
      </c>
      <c r="F40" s="21">
        <f t="shared" si="1"/>
        <v>100</v>
      </c>
    </row>
    <row r="41" spans="1:7" ht="20.25" customHeight="1">
      <c r="A41" s="3" t="s">
        <v>54</v>
      </c>
      <c r="B41" s="3"/>
      <c r="C41" s="75"/>
      <c r="D41" s="3"/>
      <c r="E41" s="21" t="e">
        <f t="shared" si="0"/>
        <v>#DIV/0!</v>
      </c>
      <c r="F41" s="21" t="e">
        <f t="shared" si="1"/>
        <v>#DIV/0!</v>
      </c>
    </row>
    <row r="42" spans="1:7" ht="20.25" customHeight="1">
      <c r="A42" s="3" t="s">
        <v>46</v>
      </c>
      <c r="B42" s="3">
        <v>230</v>
      </c>
      <c r="C42" s="75">
        <v>230</v>
      </c>
      <c r="D42" s="3">
        <v>209</v>
      </c>
      <c r="E42" s="21">
        <f t="shared" si="0"/>
        <v>10.047846889952153</v>
      </c>
      <c r="F42" s="21">
        <f t="shared" si="1"/>
        <v>100</v>
      </c>
    </row>
    <row r="43" spans="1:7" ht="20.25" customHeight="1">
      <c r="A43" s="3" t="s">
        <v>55</v>
      </c>
      <c r="B43" s="3">
        <v>30</v>
      </c>
      <c r="C43" s="75">
        <v>7</v>
      </c>
      <c r="D43" s="3">
        <v>30</v>
      </c>
      <c r="E43" s="21">
        <f t="shared" si="0"/>
        <v>0</v>
      </c>
      <c r="F43" s="21">
        <f t="shared" si="1"/>
        <v>428.57142857142856</v>
      </c>
      <c r="G43">
        <v>14</v>
      </c>
    </row>
    <row r="44" spans="1:7" ht="20.25" customHeight="1">
      <c r="A44" s="3" t="s">
        <v>56</v>
      </c>
      <c r="B44" s="3">
        <f>SUM(B45:B46)</f>
        <v>1643</v>
      </c>
      <c r="C44" s="75">
        <f>SUM(C45:C46)</f>
        <v>1643</v>
      </c>
      <c r="D44" s="3">
        <f>SUM(D45:D46)</f>
        <v>1368</v>
      </c>
      <c r="E44" s="21">
        <f t="shared" si="0"/>
        <v>20.102339181286549</v>
      </c>
      <c r="F44" s="21">
        <f t="shared" si="1"/>
        <v>100</v>
      </c>
    </row>
    <row r="45" spans="1:7" ht="20.25" customHeight="1">
      <c r="A45" s="3" t="s">
        <v>57</v>
      </c>
      <c r="B45" s="3"/>
      <c r="C45" s="75"/>
      <c r="D45" s="3"/>
      <c r="E45" s="21" t="e">
        <f t="shared" si="0"/>
        <v>#DIV/0!</v>
      </c>
      <c r="F45" s="21" t="e">
        <f t="shared" si="1"/>
        <v>#DIV/0!</v>
      </c>
    </row>
    <row r="46" spans="1:7" ht="20.25" customHeight="1">
      <c r="A46" s="3" t="s">
        <v>58</v>
      </c>
      <c r="B46" s="3">
        <v>1643</v>
      </c>
      <c r="C46" s="75">
        <v>1643</v>
      </c>
      <c r="D46" s="3">
        <v>1368</v>
      </c>
      <c r="E46" s="21">
        <f t="shared" si="0"/>
        <v>20.102339181286549</v>
      </c>
      <c r="F46" s="21">
        <f t="shared" si="1"/>
        <v>100</v>
      </c>
    </row>
    <row r="47" spans="1:7" ht="20.25" customHeight="1">
      <c r="A47" s="3" t="s">
        <v>59</v>
      </c>
      <c r="B47" s="3">
        <f>SUM(B48:B51)</f>
        <v>192</v>
      </c>
      <c r="C47" s="75">
        <f>SUM(C48:C51)</f>
        <v>205</v>
      </c>
      <c r="D47" s="3">
        <f>SUM(D48:D51)</f>
        <v>170</v>
      </c>
      <c r="E47" s="21">
        <f t="shared" si="0"/>
        <v>12.941176470588237</v>
      </c>
      <c r="F47" s="21">
        <f t="shared" si="1"/>
        <v>93.658536585365866</v>
      </c>
    </row>
    <row r="48" spans="1:7" ht="20.25" customHeight="1">
      <c r="A48" s="3" t="s">
        <v>34</v>
      </c>
      <c r="B48" s="3">
        <v>164</v>
      </c>
      <c r="C48" s="75">
        <f>164+13</f>
        <v>177</v>
      </c>
      <c r="D48" s="3">
        <v>157</v>
      </c>
      <c r="E48" s="21">
        <f t="shared" si="0"/>
        <v>4.4585987261146496</v>
      </c>
      <c r="F48" s="21">
        <f t="shared" si="1"/>
        <v>92.655367231638422</v>
      </c>
    </row>
    <row r="49" spans="1:7" ht="20.25" customHeight="1">
      <c r="A49" s="3" t="s">
        <v>35</v>
      </c>
      <c r="B49" s="3">
        <v>13</v>
      </c>
      <c r="C49" s="75">
        <v>13</v>
      </c>
      <c r="D49" s="3">
        <v>13</v>
      </c>
      <c r="E49" s="21">
        <f t="shared" si="0"/>
        <v>0</v>
      </c>
      <c r="F49" s="21">
        <f t="shared" si="1"/>
        <v>100</v>
      </c>
    </row>
    <row r="50" spans="1:7" ht="20.25" customHeight="1">
      <c r="A50" s="3" t="s">
        <v>60</v>
      </c>
      <c r="B50" s="3">
        <v>15</v>
      </c>
      <c r="C50" s="75">
        <v>15</v>
      </c>
      <c r="D50" s="3"/>
      <c r="E50" s="21" t="e">
        <f t="shared" si="0"/>
        <v>#DIV/0!</v>
      </c>
      <c r="F50" s="21">
        <f t="shared" si="1"/>
        <v>100</v>
      </c>
    </row>
    <row r="51" spans="1:7" ht="20.25" customHeight="1">
      <c r="A51" s="3" t="s">
        <v>61</v>
      </c>
      <c r="B51" s="3"/>
      <c r="C51" s="75"/>
      <c r="D51" s="3"/>
      <c r="E51" s="21" t="e">
        <f t="shared" si="0"/>
        <v>#DIV/0!</v>
      </c>
      <c r="F51" s="21" t="e">
        <f t="shared" si="1"/>
        <v>#DIV/0!</v>
      </c>
      <c r="G51">
        <v>13</v>
      </c>
    </row>
    <row r="52" spans="1:7" ht="20.25" customHeight="1">
      <c r="A52" s="3" t="s">
        <v>62</v>
      </c>
      <c r="B52" s="3">
        <f>SUM(B53:B57)</f>
        <v>0</v>
      </c>
      <c r="C52" s="75">
        <f>SUM(C53:C57)</f>
        <v>0</v>
      </c>
      <c r="D52" s="3">
        <f>SUM(D53:D57)</f>
        <v>43</v>
      </c>
      <c r="E52" s="21">
        <f t="shared" si="0"/>
        <v>-100</v>
      </c>
      <c r="F52" s="21" t="e">
        <f t="shared" si="1"/>
        <v>#DIV/0!</v>
      </c>
    </row>
    <row r="53" spans="1:7" ht="20.25" customHeight="1">
      <c r="A53" s="3" t="s">
        <v>34</v>
      </c>
      <c r="B53" s="3"/>
      <c r="C53" s="75"/>
      <c r="D53" s="3">
        <v>42</v>
      </c>
      <c r="E53" s="21">
        <f t="shared" si="0"/>
        <v>-100</v>
      </c>
      <c r="F53" s="21" t="e">
        <f t="shared" si="1"/>
        <v>#DIV/0!</v>
      </c>
    </row>
    <row r="54" spans="1:7" ht="20.25" customHeight="1">
      <c r="A54" s="3" t="s">
        <v>35</v>
      </c>
      <c r="B54" s="3"/>
      <c r="C54" s="75"/>
      <c r="D54" s="3">
        <v>1</v>
      </c>
      <c r="E54" s="21">
        <f t="shared" si="0"/>
        <v>-100</v>
      </c>
      <c r="F54" s="21" t="e">
        <f t="shared" si="1"/>
        <v>#DIV/0!</v>
      </c>
    </row>
    <row r="55" spans="1:7" ht="20.25" customHeight="1">
      <c r="A55" s="3" t="s">
        <v>63</v>
      </c>
      <c r="B55" s="3"/>
      <c r="C55" s="75"/>
      <c r="D55" s="3"/>
      <c r="E55" s="21" t="e">
        <f t="shared" si="0"/>
        <v>#DIV/0!</v>
      </c>
      <c r="F55" s="21" t="e">
        <f t="shared" si="1"/>
        <v>#DIV/0!</v>
      </c>
    </row>
    <row r="56" spans="1:7" ht="20.25" customHeight="1">
      <c r="A56" s="3" t="s">
        <v>46</v>
      </c>
      <c r="B56" s="3"/>
      <c r="C56" s="75"/>
      <c r="D56" s="3"/>
      <c r="E56" s="21" t="e">
        <f t="shared" si="0"/>
        <v>#DIV/0!</v>
      </c>
      <c r="F56" s="21" t="e">
        <f t="shared" si="1"/>
        <v>#DIV/0!</v>
      </c>
    </row>
    <row r="57" spans="1:7" ht="20.25" customHeight="1">
      <c r="A57" s="3" t="s">
        <v>64</v>
      </c>
      <c r="B57" s="3"/>
      <c r="C57" s="75"/>
      <c r="D57" s="3"/>
      <c r="E57" s="21" t="e">
        <f t="shared" si="0"/>
        <v>#DIV/0!</v>
      </c>
      <c r="F57" s="21" t="e">
        <f t="shared" si="1"/>
        <v>#DIV/0!</v>
      </c>
    </row>
    <row r="58" spans="1:7" ht="20.25" customHeight="1">
      <c r="A58" s="3" t="s">
        <v>65</v>
      </c>
      <c r="B58" s="3">
        <f>SUM(B59:B61)</f>
        <v>1291</v>
      </c>
      <c r="C58" s="75">
        <f>SUM(C59:C61)</f>
        <v>1140</v>
      </c>
      <c r="D58" s="3">
        <f>SUM(D59:D61)</f>
        <v>881</v>
      </c>
      <c r="E58" s="21">
        <f t="shared" si="0"/>
        <v>46.538024971623152</v>
      </c>
      <c r="F58" s="21">
        <f t="shared" si="1"/>
        <v>113.24561403508773</v>
      </c>
    </row>
    <row r="59" spans="1:7" ht="20.25" customHeight="1">
      <c r="A59" s="3" t="s">
        <v>34</v>
      </c>
      <c r="B59" s="3">
        <v>665</v>
      </c>
      <c r="C59" s="75">
        <v>666</v>
      </c>
      <c r="D59" s="3">
        <v>590</v>
      </c>
      <c r="E59" s="21">
        <f t="shared" si="0"/>
        <v>12.711864406779661</v>
      </c>
      <c r="F59" s="21">
        <f t="shared" si="1"/>
        <v>99.849849849849846</v>
      </c>
    </row>
    <row r="60" spans="1:7" ht="20.25" customHeight="1">
      <c r="A60" s="3" t="s">
        <v>35</v>
      </c>
      <c r="B60" s="3">
        <v>617</v>
      </c>
      <c r="C60" s="75">
        <f>458+7</f>
        <v>465</v>
      </c>
      <c r="D60" s="3">
        <v>291</v>
      </c>
      <c r="E60" s="21">
        <f t="shared" si="0"/>
        <v>112.02749140893471</v>
      </c>
      <c r="F60" s="21">
        <f t="shared" si="1"/>
        <v>132.68817204301075</v>
      </c>
    </row>
    <row r="61" spans="1:7" ht="20.25" customHeight="1">
      <c r="A61" s="3" t="s">
        <v>66</v>
      </c>
      <c r="B61" s="3">
        <v>9</v>
      </c>
      <c r="C61" s="75">
        <v>9</v>
      </c>
      <c r="D61" s="3"/>
      <c r="E61" s="21" t="e">
        <f t="shared" si="0"/>
        <v>#DIV/0!</v>
      </c>
      <c r="F61" s="21">
        <f t="shared" si="1"/>
        <v>100</v>
      </c>
    </row>
    <row r="62" spans="1:7" ht="20.25" customHeight="1">
      <c r="A62" s="3" t="s">
        <v>67</v>
      </c>
      <c r="B62" s="3">
        <f>SUM(B63:B67)</f>
        <v>472</v>
      </c>
      <c r="C62" s="75">
        <f>SUM(C63:C67)</f>
        <v>473</v>
      </c>
      <c r="D62" s="3">
        <f>SUM(D63:D67)</f>
        <v>376</v>
      </c>
      <c r="E62" s="21">
        <f t="shared" si="0"/>
        <v>25.531914893617021</v>
      </c>
      <c r="F62" s="21">
        <f t="shared" si="1"/>
        <v>99.788583509513742</v>
      </c>
    </row>
    <row r="63" spans="1:7" ht="20.25" customHeight="1">
      <c r="A63" s="3" t="s">
        <v>34</v>
      </c>
      <c r="B63" s="3">
        <v>133</v>
      </c>
      <c r="C63" s="75">
        <v>140</v>
      </c>
      <c r="D63" s="3">
        <v>122</v>
      </c>
      <c r="E63" s="21">
        <f t="shared" si="0"/>
        <v>9.0163934426229506</v>
      </c>
      <c r="F63" s="21">
        <f t="shared" si="1"/>
        <v>95</v>
      </c>
    </row>
    <row r="64" spans="1:7" ht="20.25" customHeight="1">
      <c r="A64" s="3" t="s">
        <v>35</v>
      </c>
      <c r="B64" s="3"/>
      <c r="C64" s="75"/>
      <c r="D64" s="3"/>
      <c r="E64" s="21" t="e">
        <f t="shared" si="0"/>
        <v>#DIV/0!</v>
      </c>
      <c r="F64" s="21" t="e">
        <f t="shared" si="1"/>
        <v>#DIV/0!</v>
      </c>
    </row>
    <row r="65" spans="1:7" ht="20.25" customHeight="1">
      <c r="A65" s="3" t="s">
        <v>68</v>
      </c>
      <c r="B65" s="3">
        <v>114</v>
      </c>
      <c r="C65" s="75">
        <v>150</v>
      </c>
      <c r="D65" s="3">
        <v>25</v>
      </c>
      <c r="E65" s="21">
        <f t="shared" si="0"/>
        <v>356</v>
      </c>
      <c r="F65" s="21">
        <f t="shared" si="1"/>
        <v>76</v>
      </c>
    </row>
    <row r="66" spans="1:7" ht="20.25" customHeight="1">
      <c r="A66" s="3" t="s">
        <v>46</v>
      </c>
      <c r="B66" s="3"/>
      <c r="C66" s="75"/>
      <c r="D66" s="3"/>
      <c r="E66" s="21" t="e">
        <f t="shared" si="0"/>
        <v>#DIV/0!</v>
      </c>
      <c r="F66" s="21" t="e">
        <f t="shared" si="1"/>
        <v>#DIV/0!</v>
      </c>
    </row>
    <row r="67" spans="1:7" ht="20.25" customHeight="1">
      <c r="A67" s="3" t="s">
        <v>69</v>
      </c>
      <c r="B67" s="3">
        <v>225</v>
      </c>
      <c r="C67" s="75">
        <v>183</v>
      </c>
      <c r="D67" s="3">
        <v>229</v>
      </c>
      <c r="E67" s="21">
        <f t="shared" si="0"/>
        <v>-1.7467248908296942</v>
      </c>
      <c r="F67" s="21">
        <f t="shared" si="1"/>
        <v>122.95081967213115</v>
      </c>
    </row>
    <row r="68" spans="1:7" ht="20.25" customHeight="1">
      <c r="A68" s="3" t="s">
        <v>70</v>
      </c>
      <c r="B68" s="3">
        <f>SUM(B69:B71)</f>
        <v>48</v>
      </c>
      <c r="C68" s="75">
        <f>SUM(C69:C71)</f>
        <v>58</v>
      </c>
      <c r="D68" s="3">
        <f>SUM(D69:D71)</f>
        <v>70</v>
      </c>
      <c r="E68" s="21">
        <f t="shared" si="0"/>
        <v>-31.428571428571427</v>
      </c>
      <c r="F68" s="21">
        <f t="shared" si="1"/>
        <v>82.758620689655174</v>
      </c>
    </row>
    <row r="69" spans="1:7" ht="20.25" customHeight="1">
      <c r="A69" s="3" t="s">
        <v>34</v>
      </c>
      <c r="B69" s="3"/>
      <c r="C69" s="75"/>
      <c r="D69" s="3"/>
      <c r="E69" s="21" t="e">
        <f t="shared" si="0"/>
        <v>#DIV/0!</v>
      </c>
      <c r="F69" s="21" t="e">
        <f t="shared" si="1"/>
        <v>#DIV/0!</v>
      </c>
    </row>
    <row r="70" spans="1:7" ht="20.25" customHeight="1">
      <c r="A70" s="3" t="s">
        <v>35</v>
      </c>
      <c r="B70" s="3"/>
      <c r="C70" s="75"/>
      <c r="D70" s="3"/>
      <c r="E70" s="21" t="e">
        <f t="shared" ref="E70:E133" si="2">(B70-D70)/D70*100</f>
        <v>#DIV/0!</v>
      </c>
      <c r="F70" s="21" t="e">
        <f t="shared" ref="F70:F133" si="3">B70/C70*100</f>
        <v>#DIV/0!</v>
      </c>
    </row>
    <row r="71" spans="1:7" ht="20.25" customHeight="1">
      <c r="A71" s="3" t="s">
        <v>71</v>
      </c>
      <c r="B71" s="3">
        <v>48</v>
      </c>
      <c r="C71" s="75">
        <v>58</v>
      </c>
      <c r="D71" s="3">
        <v>70</v>
      </c>
      <c r="E71" s="21">
        <f t="shared" si="2"/>
        <v>-31.428571428571427</v>
      </c>
      <c r="F71" s="21">
        <f t="shared" si="3"/>
        <v>82.758620689655174</v>
      </c>
      <c r="G71">
        <v>100</v>
      </c>
    </row>
    <row r="72" spans="1:7" ht="20.25" customHeight="1">
      <c r="A72" s="3" t="s">
        <v>72</v>
      </c>
      <c r="B72" s="3">
        <f>SUM(B73:B74)</f>
        <v>92</v>
      </c>
      <c r="C72" s="75">
        <f>SUM(C73:C74)</f>
        <v>91</v>
      </c>
      <c r="D72" s="3">
        <f>SUM(D73:D74)</f>
        <v>703</v>
      </c>
      <c r="E72" s="21">
        <f t="shared" si="2"/>
        <v>-86.913229018492174</v>
      </c>
      <c r="F72" s="21">
        <f t="shared" si="3"/>
        <v>101.09890109890109</v>
      </c>
    </row>
    <row r="73" spans="1:7" ht="20.25" customHeight="1">
      <c r="A73" s="3" t="s">
        <v>34</v>
      </c>
      <c r="B73" s="3">
        <v>74</v>
      </c>
      <c r="C73" s="75">
        <v>75</v>
      </c>
      <c r="D73" s="3"/>
      <c r="E73" s="21" t="e">
        <f t="shared" si="2"/>
        <v>#DIV/0!</v>
      </c>
      <c r="F73" s="21">
        <f t="shared" si="3"/>
        <v>98.666666666666671</v>
      </c>
    </row>
    <row r="74" spans="1:7" ht="20.25" customHeight="1">
      <c r="A74" s="3" t="s">
        <v>73</v>
      </c>
      <c r="B74" s="3">
        <v>18</v>
      </c>
      <c r="C74" s="75">
        <v>16</v>
      </c>
      <c r="D74" s="3">
        <v>703</v>
      </c>
      <c r="E74" s="21">
        <f t="shared" si="2"/>
        <v>-97.439544807965859</v>
      </c>
      <c r="F74" s="21">
        <f t="shared" si="3"/>
        <v>112.5</v>
      </c>
    </row>
    <row r="75" spans="1:7" ht="20.25" customHeight="1">
      <c r="A75" s="3" t="s">
        <v>74</v>
      </c>
      <c r="B75" s="3">
        <f>SUM(B76:B77)</f>
        <v>27</v>
      </c>
      <c r="C75" s="75">
        <f>SUM(C76:C77)</f>
        <v>28</v>
      </c>
      <c r="D75" s="3">
        <f>SUM(D76:D77)</f>
        <v>23</v>
      </c>
      <c r="E75" s="21">
        <f t="shared" si="2"/>
        <v>17.391304347826086</v>
      </c>
      <c r="F75" s="21">
        <f t="shared" si="3"/>
        <v>96.428571428571431</v>
      </c>
    </row>
    <row r="76" spans="1:7" ht="20.25" customHeight="1">
      <c r="A76" s="3" t="s">
        <v>34</v>
      </c>
      <c r="B76" s="3">
        <v>24</v>
      </c>
      <c r="C76" s="75">
        <v>25</v>
      </c>
      <c r="D76" s="3">
        <v>23</v>
      </c>
      <c r="E76" s="21">
        <f t="shared" si="2"/>
        <v>4.3478260869565215</v>
      </c>
      <c r="F76" s="21">
        <f t="shared" si="3"/>
        <v>96</v>
      </c>
    </row>
    <row r="77" spans="1:7" ht="20.25" customHeight="1">
      <c r="A77" s="3" t="s">
        <v>35</v>
      </c>
      <c r="B77" s="3">
        <v>3</v>
      </c>
      <c r="C77" s="75">
        <v>3</v>
      </c>
      <c r="D77" s="3"/>
      <c r="E77" s="21" t="e">
        <f t="shared" si="2"/>
        <v>#DIV/0!</v>
      </c>
      <c r="F77" s="21">
        <f t="shared" si="3"/>
        <v>100</v>
      </c>
    </row>
    <row r="78" spans="1:7" ht="20.25" customHeight="1">
      <c r="A78" s="3" t="s">
        <v>75</v>
      </c>
      <c r="B78" s="3">
        <f>SUM(B79:B81)</f>
        <v>152</v>
      </c>
      <c r="C78" s="75">
        <f>SUM(C79:C81)</f>
        <v>148</v>
      </c>
      <c r="D78" s="3">
        <f>SUM(D79:D81)</f>
        <v>139</v>
      </c>
      <c r="E78" s="21">
        <f t="shared" si="2"/>
        <v>9.3525179856115113</v>
      </c>
      <c r="F78" s="21">
        <f t="shared" si="3"/>
        <v>102.70270270270269</v>
      </c>
    </row>
    <row r="79" spans="1:7" ht="20.25" customHeight="1">
      <c r="A79" s="3" t="s">
        <v>34</v>
      </c>
      <c r="B79" s="3">
        <v>138</v>
      </c>
      <c r="C79" s="75">
        <v>136</v>
      </c>
      <c r="D79" s="3">
        <v>98</v>
      </c>
      <c r="E79" s="21">
        <f t="shared" si="2"/>
        <v>40.816326530612244</v>
      </c>
      <c r="F79" s="21">
        <f t="shared" si="3"/>
        <v>101.47058823529412</v>
      </c>
    </row>
    <row r="80" spans="1:7" ht="20.25" customHeight="1">
      <c r="A80" s="3" t="s">
        <v>35</v>
      </c>
      <c r="B80" s="3">
        <v>6</v>
      </c>
      <c r="C80" s="75">
        <v>5</v>
      </c>
      <c r="D80" s="3">
        <v>41</v>
      </c>
      <c r="E80" s="21">
        <f t="shared" si="2"/>
        <v>-85.365853658536579</v>
      </c>
      <c r="F80" s="21">
        <f t="shared" si="3"/>
        <v>120</v>
      </c>
    </row>
    <row r="81" spans="1:7" ht="20.25" customHeight="1">
      <c r="A81" s="3" t="s">
        <v>76</v>
      </c>
      <c r="B81" s="3">
        <v>8</v>
      </c>
      <c r="C81" s="75">
        <v>7</v>
      </c>
      <c r="D81" s="3"/>
      <c r="E81" s="21" t="e">
        <f t="shared" si="2"/>
        <v>#DIV/0!</v>
      </c>
      <c r="F81" s="21">
        <f t="shared" si="3"/>
        <v>114.28571428571428</v>
      </c>
      <c r="G81">
        <v>24</v>
      </c>
    </row>
    <row r="82" spans="1:7" ht="20.25" customHeight="1">
      <c r="A82" s="3" t="s">
        <v>77</v>
      </c>
      <c r="B82" s="3">
        <f>SUM(B83:B84)</f>
        <v>289</v>
      </c>
      <c r="C82" s="75">
        <f>SUM(C83:C84)</f>
        <v>308</v>
      </c>
      <c r="D82" s="3">
        <f>SUM(D83:D84)</f>
        <v>218</v>
      </c>
      <c r="E82" s="21">
        <f t="shared" si="2"/>
        <v>32.568807339449542</v>
      </c>
      <c r="F82" s="21">
        <f t="shared" si="3"/>
        <v>93.831168831168839</v>
      </c>
    </row>
    <row r="83" spans="1:7" ht="20.25" customHeight="1">
      <c r="A83" s="3" t="s">
        <v>34</v>
      </c>
      <c r="B83" s="3">
        <f>1169-996</f>
        <v>173</v>
      </c>
      <c r="C83" s="75">
        <f>1069-796</f>
        <v>273</v>
      </c>
      <c r="D83" s="3">
        <v>171</v>
      </c>
      <c r="E83" s="21">
        <f t="shared" si="2"/>
        <v>1.1695906432748537</v>
      </c>
      <c r="F83" s="21">
        <f t="shared" si="3"/>
        <v>63.369963369963365</v>
      </c>
    </row>
    <row r="84" spans="1:7" ht="20.25" customHeight="1">
      <c r="A84" s="3" t="s">
        <v>35</v>
      </c>
      <c r="B84" s="3">
        <v>116</v>
      </c>
      <c r="C84" s="75">
        <v>35</v>
      </c>
      <c r="D84" s="3">
        <v>47</v>
      </c>
      <c r="E84" s="21">
        <f t="shared" si="2"/>
        <v>146.80851063829786</v>
      </c>
      <c r="F84" s="21">
        <f t="shared" si="3"/>
        <v>331.42857142857144</v>
      </c>
    </row>
    <row r="85" spans="1:7" ht="20.25" customHeight="1">
      <c r="A85" s="3" t="s">
        <v>78</v>
      </c>
      <c r="B85" s="3">
        <f>SUM(B86:B90)</f>
        <v>2444</v>
      </c>
      <c r="C85" s="75">
        <f>SUM(C86:C90)</f>
        <v>3162</v>
      </c>
      <c r="D85" s="3">
        <f>SUM(D86:D90)</f>
        <v>6353</v>
      </c>
      <c r="E85" s="21">
        <f t="shared" si="2"/>
        <v>-61.529985833464508</v>
      </c>
      <c r="F85" s="21">
        <f t="shared" si="3"/>
        <v>77.29285262492094</v>
      </c>
    </row>
    <row r="86" spans="1:7" ht="20.25" customHeight="1">
      <c r="A86" s="3" t="s">
        <v>34</v>
      </c>
      <c r="B86" s="3">
        <v>1558</v>
      </c>
      <c r="C86" s="75">
        <v>1900</v>
      </c>
      <c r="D86" s="3">
        <v>5672</v>
      </c>
      <c r="E86" s="21">
        <f t="shared" si="2"/>
        <v>-72.531734837799718</v>
      </c>
      <c r="F86" s="21">
        <f t="shared" si="3"/>
        <v>82</v>
      </c>
    </row>
    <row r="87" spans="1:7" ht="20.25" customHeight="1">
      <c r="A87" s="3" t="s">
        <v>35</v>
      </c>
      <c r="B87" s="3">
        <v>673</v>
      </c>
      <c r="C87" s="75">
        <f>681+367</f>
        <v>1048</v>
      </c>
      <c r="D87" s="3">
        <v>563</v>
      </c>
      <c r="E87" s="21">
        <f t="shared" si="2"/>
        <v>19.538188277087034</v>
      </c>
      <c r="F87" s="21">
        <f t="shared" si="3"/>
        <v>64.217557251908403</v>
      </c>
    </row>
    <row r="88" spans="1:7" ht="20.25" customHeight="1">
      <c r="A88" s="3" t="s">
        <v>79</v>
      </c>
      <c r="B88" s="3">
        <v>48</v>
      </c>
      <c r="C88" s="75">
        <v>48</v>
      </c>
      <c r="D88" s="3">
        <v>45</v>
      </c>
      <c r="E88" s="21">
        <f t="shared" si="2"/>
        <v>6.666666666666667</v>
      </c>
      <c r="F88" s="21">
        <f t="shared" si="3"/>
        <v>100</v>
      </c>
    </row>
    <row r="89" spans="1:7" ht="20.25" customHeight="1">
      <c r="A89" s="3" t="s">
        <v>46</v>
      </c>
      <c r="B89" s="3">
        <v>75</v>
      </c>
      <c r="C89" s="75">
        <v>76</v>
      </c>
      <c r="D89" s="3">
        <v>59</v>
      </c>
      <c r="E89" s="21">
        <f t="shared" si="2"/>
        <v>27.118644067796609</v>
      </c>
      <c r="F89" s="21">
        <f t="shared" si="3"/>
        <v>98.68421052631578</v>
      </c>
    </row>
    <row r="90" spans="1:7" ht="20.25" customHeight="1">
      <c r="A90" s="3" t="s">
        <v>80</v>
      </c>
      <c r="B90" s="3">
        <v>90</v>
      </c>
      <c r="C90" s="75">
        <v>90</v>
      </c>
      <c r="D90" s="3">
        <v>14</v>
      </c>
      <c r="E90" s="21">
        <f t="shared" si="2"/>
        <v>542.85714285714289</v>
      </c>
      <c r="F90" s="21">
        <f t="shared" si="3"/>
        <v>100</v>
      </c>
      <c r="G90">
        <v>240</v>
      </c>
    </row>
    <row r="91" spans="1:7" ht="20.25" customHeight="1">
      <c r="A91" s="3" t="s">
        <v>81</v>
      </c>
      <c r="B91" s="3">
        <f>SUM(B92:B94)</f>
        <v>200</v>
      </c>
      <c r="C91" s="75">
        <f>SUM(C92:C94)</f>
        <v>183</v>
      </c>
      <c r="D91" s="3">
        <f>SUM(D92:D94)</f>
        <v>162</v>
      </c>
      <c r="E91" s="21">
        <f t="shared" si="2"/>
        <v>23.456790123456788</v>
      </c>
      <c r="F91" s="21">
        <f t="shared" si="3"/>
        <v>109.28961748633881</v>
      </c>
    </row>
    <row r="92" spans="1:7" ht="20.25" customHeight="1">
      <c r="A92" s="3" t="s">
        <v>34</v>
      </c>
      <c r="B92" s="3">
        <v>99</v>
      </c>
      <c r="C92" s="75">
        <v>100</v>
      </c>
      <c r="D92" s="3">
        <v>91</v>
      </c>
      <c r="E92" s="21">
        <f t="shared" si="2"/>
        <v>8.791208791208792</v>
      </c>
      <c r="F92" s="21">
        <f t="shared" si="3"/>
        <v>99</v>
      </c>
    </row>
    <row r="93" spans="1:7" ht="20.25" customHeight="1">
      <c r="A93" s="3" t="s">
        <v>35</v>
      </c>
      <c r="B93" s="3">
        <v>78</v>
      </c>
      <c r="C93" s="75">
        <v>60</v>
      </c>
      <c r="D93" s="3">
        <v>56</v>
      </c>
      <c r="E93" s="21">
        <f t="shared" si="2"/>
        <v>39.285714285714285</v>
      </c>
      <c r="F93" s="21">
        <f t="shared" si="3"/>
        <v>130</v>
      </c>
    </row>
    <row r="94" spans="1:7" ht="20.25" customHeight="1">
      <c r="A94" s="3" t="s">
        <v>46</v>
      </c>
      <c r="B94" s="3">
        <v>23</v>
      </c>
      <c r="C94" s="75">
        <v>23</v>
      </c>
      <c r="D94" s="3">
        <v>15</v>
      </c>
      <c r="E94" s="21">
        <f t="shared" si="2"/>
        <v>53.333333333333336</v>
      </c>
      <c r="F94" s="21">
        <f t="shared" si="3"/>
        <v>100</v>
      </c>
    </row>
    <row r="95" spans="1:7" ht="20.25" customHeight="1">
      <c r="A95" s="3" t="s">
        <v>82</v>
      </c>
      <c r="B95" s="3">
        <f>SUM(B96:B98)</f>
        <v>88</v>
      </c>
      <c r="C95" s="75">
        <f>SUM(C96:C98)</f>
        <v>89</v>
      </c>
      <c r="D95" s="3">
        <f>SUM(D96:D98)</f>
        <v>81</v>
      </c>
      <c r="E95" s="21">
        <f t="shared" si="2"/>
        <v>8.6419753086419746</v>
      </c>
      <c r="F95" s="21">
        <f t="shared" si="3"/>
        <v>98.876404494382015</v>
      </c>
    </row>
    <row r="96" spans="1:7" ht="20.25" customHeight="1">
      <c r="A96" s="3" t="s">
        <v>34</v>
      </c>
      <c r="B96" s="3">
        <v>78</v>
      </c>
      <c r="C96" s="75">
        <v>84</v>
      </c>
      <c r="D96" s="3">
        <v>74</v>
      </c>
      <c r="E96" s="21">
        <f t="shared" si="2"/>
        <v>5.4054054054054053</v>
      </c>
      <c r="F96" s="21">
        <f t="shared" si="3"/>
        <v>92.857142857142861</v>
      </c>
    </row>
    <row r="97" spans="1:6" ht="20.25" customHeight="1">
      <c r="A97" s="3" t="s">
        <v>35</v>
      </c>
      <c r="B97" s="3">
        <v>5</v>
      </c>
      <c r="C97" s="75"/>
      <c r="D97" s="3"/>
      <c r="E97" s="21" t="e">
        <f t="shared" si="2"/>
        <v>#DIV/0!</v>
      </c>
      <c r="F97" s="21" t="e">
        <f t="shared" si="3"/>
        <v>#DIV/0!</v>
      </c>
    </row>
    <row r="98" spans="1:6" ht="20.25" customHeight="1">
      <c r="A98" s="3" t="s">
        <v>83</v>
      </c>
      <c r="B98" s="3">
        <v>5</v>
      </c>
      <c r="C98" s="75">
        <v>5</v>
      </c>
      <c r="D98" s="3">
        <v>7</v>
      </c>
      <c r="E98" s="21">
        <f t="shared" si="2"/>
        <v>-28.571428571428569</v>
      </c>
      <c r="F98" s="21">
        <f t="shared" si="3"/>
        <v>100</v>
      </c>
    </row>
    <row r="99" spans="1:6" ht="20.25" customHeight="1">
      <c r="A99" s="3" t="s">
        <v>84</v>
      </c>
      <c r="B99" s="3">
        <f>SUM(B100:B101)</f>
        <v>0</v>
      </c>
      <c r="C99" s="75">
        <f>SUM(C100:C101)</f>
        <v>0</v>
      </c>
      <c r="D99" s="3">
        <f>SUM(D100:D101)</f>
        <v>7</v>
      </c>
      <c r="E99" s="21">
        <f t="shared" si="2"/>
        <v>-100</v>
      </c>
      <c r="F99" s="21" t="e">
        <f t="shared" si="3"/>
        <v>#DIV/0!</v>
      </c>
    </row>
    <row r="100" spans="1:6" ht="20.25" customHeight="1">
      <c r="A100" s="3" t="s">
        <v>46</v>
      </c>
      <c r="B100" s="3"/>
      <c r="C100" s="75"/>
      <c r="D100" s="3"/>
      <c r="E100" s="21" t="e">
        <f t="shared" si="2"/>
        <v>#DIV/0!</v>
      </c>
      <c r="F100" s="21" t="e">
        <f t="shared" si="3"/>
        <v>#DIV/0!</v>
      </c>
    </row>
    <row r="101" spans="1:6" ht="20.25" customHeight="1">
      <c r="A101" s="3" t="s">
        <v>85</v>
      </c>
      <c r="B101" s="3"/>
      <c r="C101" s="75"/>
      <c r="D101" s="3">
        <v>7</v>
      </c>
      <c r="E101" s="21">
        <f t="shared" si="2"/>
        <v>-100</v>
      </c>
      <c r="F101" s="21" t="e">
        <f t="shared" si="3"/>
        <v>#DIV/0!</v>
      </c>
    </row>
    <row r="102" spans="1:6" ht="20.25" customHeight="1">
      <c r="A102" s="3" t="s">
        <v>86</v>
      </c>
      <c r="B102" s="3">
        <f>SUM(B103:B111)</f>
        <v>1347</v>
      </c>
      <c r="C102" s="75">
        <f>SUM(C103:C111)</f>
        <v>1347</v>
      </c>
      <c r="D102" s="3">
        <f>SUM(D103:D111)</f>
        <v>1322</v>
      </c>
      <c r="E102" s="21">
        <f t="shared" si="2"/>
        <v>1.8910741301059002</v>
      </c>
      <c r="F102" s="21">
        <f t="shared" si="3"/>
        <v>100</v>
      </c>
    </row>
    <row r="103" spans="1:6" ht="20.25" customHeight="1">
      <c r="A103" s="3" t="s">
        <v>34</v>
      </c>
      <c r="B103" s="3">
        <v>1111</v>
      </c>
      <c r="C103" s="75">
        <f>1107+4</f>
        <v>1111</v>
      </c>
      <c r="D103" s="3">
        <v>1081</v>
      </c>
      <c r="E103" s="21">
        <f t="shared" si="2"/>
        <v>2.7752081406105455</v>
      </c>
      <c r="F103" s="21">
        <f t="shared" si="3"/>
        <v>100</v>
      </c>
    </row>
    <row r="104" spans="1:6" ht="20.25" customHeight="1">
      <c r="A104" s="3" t="s">
        <v>35</v>
      </c>
      <c r="B104" s="3">
        <v>10</v>
      </c>
      <c r="C104" s="75">
        <v>10</v>
      </c>
      <c r="D104" s="3">
        <v>10</v>
      </c>
      <c r="E104" s="21">
        <f t="shared" si="2"/>
        <v>0</v>
      </c>
      <c r="F104" s="21">
        <f t="shared" si="3"/>
        <v>100</v>
      </c>
    </row>
    <row r="105" spans="1:6" ht="20.25" customHeight="1">
      <c r="A105" s="3" t="s">
        <v>87</v>
      </c>
      <c r="B105" s="3"/>
      <c r="C105" s="75"/>
      <c r="D105" s="3"/>
      <c r="E105" s="21" t="e">
        <f t="shared" si="2"/>
        <v>#DIV/0!</v>
      </c>
      <c r="F105" s="21" t="e">
        <f t="shared" si="3"/>
        <v>#DIV/0!</v>
      </c>
    </row>
    <row r="106" spans="1:6" ht="20.25" customHeight="1">
      <c r="A106" s="3" t="s">
        <v>88</v>
      </c>
      <c r="B106" s="3"/>
      <c r="C106" s="75"/>
      <c r="D106" s="3"/>
      <c r="E106" s="21" t="e">
        <f t="shared" si="2"/>
        <v>#DIV/0!</v>
      </c>
      <c r="F106" s="21" t="e">
        <f t="shared" si="3"/>
        <v>#DIV/0!</v>
      </c>
    </row>
    <row r="107" spans="1:6" ht="20.25" customHeight="1">
      <c r="A107" s="3" t="s">
        <v>89</v>
      </c>
      <c r="B107" s="3"/>
      <c r="C107" s="75"/>
      <c r="D107" s="3"/>
      <c r="E107" s="21" t="e">
        <f t="shared" si="2"/>
        <v>#DIV/0!</v>
      </c>
      <c r="F107" s="21" t="e">
        <f t="shared" si="3"/>
        <v>#DIV/0!</v>
      </c>
    </row>
    <row r="108" spans="1:6" ht="20.25" customHeight="1">
      <c r="A108" s="3" t="s">
        <v>90</v>
      </c>
      <c r="B108" s="3"/>
      <c r="C108" s="75"/>
      <c r="D108" s="3">
        <v>2</v>
      </c>
      <c r="E108" s="21">
        <f t="shared" si="2"/>
        <v>-100</v>
      </c>
      <c r="F108" s="21" t="e">
        <f t="shared" si="3"/>
        <v>#DIV/0!</v>
      </c>
    </row>
    <row r="109" spans="1:6" ht="20.25" customHeight="1">
      <c r="A109" s="3" t="s">
        <v>91</v>
      </c>
      <c r="B109" s="3">
        <v>18</v>
      </c>
      <c r="C109" s="75">
        <v>18</v>
      </c>
      <c r="D109" s="3">
        <v>18</v>
      </c>
      <c r="E109" s="21">
        <f t="shared" si="2"/>
        <v>0</v>
      </c>
      <c r="F109" s="21">
        <f t="shared" si="3"/>
        <v>100</v>
      </c>
    </row>
    <row r="110" spans="1:6" ht="20.25" customHeight="1">
      <c r="A110" s="3" t="s">
        <v>46</v>
      </c>
      <c r="B110" s="3">
        <v>200</v>
      </c>
      <c r="C110" s="75">
        <v>200</v>
      </c>
      <c r="D110" s="3">
        <v>209</v>
      </c>
      <c r="E110" s="21">
        <f t="shared" si="2"/>
        <v>-4.3062200956937797</v>
      </c>
      <c r="F110" s="21">
        <f t="shared" si="3"/>
        <v>100</v>
      </c>
    </row>
    <row r="111" spans="1:6" ht="20.25" customHeight="1">
      <c r="A111" s="3" t="s">
        <v>92</v>
      </c>
      <c r="B111" s="3">
        <v>8</v>
      </c>
      <c r="C111" s="75">
        <v>8</v>
      </c>
      <c r="D111" s="3">
        <v>2</v>
      </c>
      <c r="E111" s="21">
        <f t="shared" si="2"/>
        <v>300</v>
      </c>
      <c r="F111" s="21">
        <f t="shared" si="3"/>
        <v>100</v>
      </c>
    </row>
    <row r="112" spans="1:6" ht="20.25" customHeight="1">
      <c r="A112" s="3" t="s">
        <v>93</v>
      </c>
      <c r="B112" s="3">
        <f>B113</f>
        <v>0</v>
      </c>
      <c r="C112" s="75">
        <f>C113</f>
        <v>0</v>
      </c>
      <c r="D112" s="3">
        <f>D113</f>
        <v>56</v>
      </c>
      <c r="E112" s="21">
        <f t="shared" si="2"/>
        <v>-100</v>
      </c>
      <c r="F112" s="21" t="e">
        <f t="shared" si="3"/>
        <v>#DIV/0!</v>
      </c>
    </row>
    <row r="113" spans="1:9" ht="20.25" customHeight="1">
      <c r="A113" s="3" t="s">
        <v>94</v>
      </c>
      <c r="B113" s="3"/>
      <c r="C113" s="75"/>
      <c r="D113" s="3">
        <v>56</v>
      </c>
      <c r="E113" s="21">
        <f t="shared" si="2"/>
        <v>-100</v>
      </c>
      <c r="F113" s="21" t="e">
        <f t="shared" si="3"/>
        <v>#DIV/0!</v>
      </c>
    </row>
    <row r="114" spans="1:9" ht="20.25" customHeight="1">
      <c r="A114" s="3" t="s">
        <v>95</v>
      </c>
      <c r="B114" s="3">
        <f>B115</f>
        <v>118</v>
      </c>
      <c r="C114" s="75">
        <f>C115</f>
        <v>118</v>
      </c>
      <c r="D114" s="3">
        <f>D115</f>
        <v>50</v>
      </c>
      <c r="E114" s="21">
        <f t="shared" si="2"/>
        <v>136</v>
      </c>
      <c r="F114" s="21">
        <f t="shared" si="3"/>
        <v>100</v>
      </c>
    </row>
    <row r="115" spans="1:9" ht="20.25" customHeight="1">
      <c r="A115" s="3" t="s">
        <v>96</v>
      </c>
      <c r="B115" s="3">
        <f>SUM(B116:B117)</f>
        <v>118</v>
      </c>
      <c r="C115" s="75">
        <f>SUM(C116:C117)</f>
        <v>118</v>
      </c>
      <c r="D115" s="3">
        <f>SUM(D116:D117)</f>
        <v>50</v>
      </c>
      <c r="E115" s="21">
        <f t="shared" si="2"/>
        <v>136</v>
      </c>
      <c r="F115" s="21">
        <f t="shared" si="3"/>
        <v>100</v>
      </c>
    </row>
    <row r="116" spans="1:9" ht="20.25" customHeight="1">
      <c r="A116" s="3" t="s">
        <v>97</v>
      </c>
      <c r="B116" s="3">
        <v>82</v>
      </c>
      <c r="C116" s="75">
        <f>46+36</f>
        <v>82</v>
      </c>
      <c r="D116" s="3">
        <v>20</v>
      </c>
      <c r="E116" s="21">
        <f t="shared" si="2"/>
        <v>310</v>
      </c>
      <c r="F116" s="21">
        <f t="shared" si="3"/>
        <v>100</v>
      </c>
    </row>
    <row r="117" spans="1:9" ht="20.25" customHeight="1">
      <c r="A117" s="3" t="s">
        <v>98</v>
      </c>
      <c r="B117" s="3">
        <v>36</v>
      </c>
      <c r="C117" s="75">
        <v>36</v>
      </c>
      <c r="D117" s="3">
        <v>30</v>
      </c>
      <c r="E117" s="21">
        <f t="shared" si="2"/>
        <v>20</v>
      </c>
      <c r="F117" s="21">
        <f t="shared" si="3"/>
        <v>100</v>
      </c>
    </row>
    <row r="118" spans="1:9" ht="20.25" customHeight="1">
      <c r="A118" s="3" t="s">
        <v>99</v>
      </c>
      <c r="B118" s="3">
        <f>B119+B122+B128+B131+B134+B144+B142</f>
        <v>7051</v>
      </c>
      <c r="C118" s="75">
        <f>C119+C122+C128+C131+C134+C144+C142</f>
        <v>7551</v>
      </c>
      <c r="D118" s="3">
        <f>D119+D122+D128+D131+D134+D144+D142</f>
        <v>7805</v>
      </c>
      <c r="E118" s="21">
        <f t="shared" si="2"/>
        <v>-9.6604740550928891</v>
      </c>
      <c r="F118" s="21">
        <f t="shared" si="3"/>
        <v>93.378360482055356</v>
      </c>
      <c r="I118">
        <v>311</v>
      </c>
    </row>
    <row r="119" spans="1:9" ht="20.25" customHeight="1">
      <c r="A119" s="3" t="s">
        <v>100</v>
      </c>
      <c r="B119" s="3">
        <f>B120+B121</f>
        <v>13</v>
      </c>
      <c r="C119" s="75">
        <f>C120+C121</f>
        <v>14</v>
      </c>
      <c r="D119" s="3">
        <f>D120+D121</f>
        <v>22</v>
      </c>
      <c r="E119" s="21">
        <f t="shared" si="2"/>
        <v>-40.909090909090914</v>
      </c>
      <c r="F119" s="21">
        <f t="shared" si="3"/>
        <v>92.857142857142861</v>
      </c>
    </row>
    <row r="120" spans="1:9" ht="20.25" customHeight="1">
      <c r="A120" s="3" t="s">
        <v>101</v>
      </c>
      <c r="B120" s="3"/>
      <c r="C120" s="75"/>
      <c r="D120" s="3">
        <v>4</v>
      </c>
      <c r="E120" s="21">
        <f t="shared" si="2"/>
        <v>-100</v>
      </c>
      <c r="F120" s="21" t="e">
        <f t="shared" si="3"/>
        <v>#DIV/0!</v>
      </c>
      <c r="G120">
        <v>100</v>
      </c>
    </row>
    <row r="121" spans="1:9" ht="20.25" customHeight="1">
      <c r="A121" s="3" t="s">
        <v>102</v>
      </c>
      <c r="B121" s="3">
        <v>13</v>
      </c>
      <c r="C121" s="75">
        <v>14</v>
      </c>
      <c r="D121" s="3">
        <v>18</v>
      </c>
      <c r="E121" s="21">
        <f t="shared" si="2"/>
        <v>-27.777777777777779</v>
      </c>
      <c r="F121" s="21">
        <f t="shared" si="3"/>
        <v>92.857142857142861</v>
      </c>
    </row>
    <row r="122" spans="1:9" ht="20.25" customHeight="1">
      <c r="A122" s="3" t="s">
        <v>103</v>
      </c>
      <c r="B122" s="3">
        <f>SUM(B123:B127)</f>
        <v>6278</v>
      </c>
      <c r="C122" s="75">
        <f>SUM(C123:C127)</f>
        <v>6722</v>
      </c>
      <c r="D122" s="3">
        <f>SUM(D123:D127)</f>
        <v>6898</v>
      </c>
      <c r="E122" s="21">
        <f t="shared" si="2"/>
        <v>-8.988112496375761</v>
      </c>
      <c r="F122" s="21">
        <f t="shared" si="3"/>
        <v>93.394822969354365</v>
      </c>
    </row>
    <row r="123" spans="1:9" ht="20.25" customHeight="1">
      <c r="A123" s="3" t="s">
        <v>34</v>
      </c>
      <c r="B123" s="3">
        <v>4753</v>
      </c>
      <c r="C123" s="75">
        <f>4700+500-95</f>
        <v>5105</v>
      </c>
      <c r="D123" s="3">
        <v>4411</v>
      </c>
      <c r="E123" s="21">
        <f t="shared" si="2"/>
        <v>7.75334391294491</v>
      </c>
      <c r="F123" s="21">
        <f t="shared" si="3"/>
        <v>93.104799216454452</v>
      </c>
    </row>
    <row r="124" spans="1:9" ht="20.25" customHeight="1">
      <c r="A124" s="3" t="s">
        <v>35</v>
      </c>
      <c r="B124" s="3">
        <v>1373</v>
      </c>
      <c r="C124" s="75">
        <f>940+517</f>
        <v>1457</v>
      </c>
      <c r="D124" s="3">
        <v>2365</v>
      </c>
      <c r="E124" s="21">
        <f t="shared" si="2"/>
        <v>-41.945031712473572</v>
      </c>
      <c r="F124" s="21">
        <f t="shared" si="3"/>
        <v>94.234728894989701</v>
      </c>
      <c r="G124">
        <v>1042</v>
      </c>
    </row>
    <row r="125" spans="1:9" s="42" customFormat="1" ht="20.25" customHeight="1">
      <c r="A125" s="3" t="s">
        <v>639</v>
      </c>
      <c r="B125" s="3">
        <v>22</v>
      </c>
      <c r="C125" s="75">
        <v>40</v>
      </c>
      <c r="D125" s="3"/>
      <c r="E125" s="21" t="e">
        <f t="shared" si="2"/>
        <v>#DIV/0!</v>
      </c>
      <c r="F125" s="21">
        <f t="shared" si="3"/>
        <v>55.000000000000007</v>
      </c>
    </row>
    <row r="126" spans="1:9" ht="20.25" customHeight="1">
      <c r="A126" s="3" t="s">
        <v>104</v>
      </c>
      <c r="B126" s="3">
        <v>60</v>
      </c>
      <c r="C126" s="75">
        <v>50</v>
      </c>
      <c r="D126" s="3">
        <v>50</v>
      </c>
      <c r="E126" s="21">
        <f t="shared" si="2"/>
        <v>20</v>
      </c>
      <c r="F126" s="21">
        <f t="shared" si="3"/>
        <v>120</v>
      </c>
    </row>
    <row r="127" spans="1:9" ht="20.25" customHeight="1">
      <c r="A127" s="3" t="s">
        <v>600</v>
      </c>
      <c r="B127" s="3">
        <v>70</v>
      </c>
      <c r="C127" s="75">
        <v>70</v>
      </c>
      <c r="D127" s="3">
        <v>72</v>
      </c>
      <c r="E127" s="21">
        <f t="shared" si="2"/>
        <v>-2.7777777777777777</v>
      </c>
      <c r="F127" s="21">
        <f t="shared" si="3"/>
        <v>100</v>
      </c>
    </row>
    <row r="128" spans="1:9" ht="20.25" customHeight="1">
      <c r="A128" s="3" t="s">
        <v>105</v>
      </c>
      <c r="B128" s="3">
        <f>SUM(B129:B130)</f>
        <v>0</v>
      </c>
      <c r="C128" s="75">
        <f>SUM(C129:C130)</f>
        <v>0</v>
      </c>
      <c r="D128" s="3">
        <f>SUM(D129:D130)</f>
        <v>0</v>
      </c>
      <c r="E128" s="21" t="e">
        <f t="shared" si="2"/>
        <v>#DIV/0!</v>
      </c>
      <c r="F128" s="21" t="e">
        <f t="shared" si="3"/>
        <v>#DIV/0!</v>
      </c>
    </row>
    <row r="129" spans="1:7" ht="20.25" customHeight="1">
      <c r="A129" s="3" t="s">
        <v>34</v>
      </c>
      <c r="B129" s="3"/>
      <c r="C129" s="75"/>
      <c r="D129" s="3"/>
      <c r="E129" s="21" t="e">
        <f t="shared" si="2"/>
        <v>#DIV/0!</v>
      </c>
      <c r="F129" s="21" t="e">
        <f t="shared" si="3"/>
        <v>#DIV/0!</v>
      </c>
    </row>
    <row r="130" spans="1:7" ht="20.25" customHeight="1">
      <c r="A130" s="3" t="s">
        <v>106</v>
      </c>
      <c r="B130" s="3"/>
      <c r="C130" s="75"/>
      <c r="D130" s="3"/>
      <c r="E130" s="21" t="e">
        <f t="shared" si="2"/>
        <v>#DIV/0!</v>
      </c>
      <c r="F130" s="21" t="e">
        <f t="shared" si="3"/>
        <v>#DIV/0!</v>
      </c>
      <c r="G130">
        <v>195</v>
      </c>
    </row>
    <row r="131" spans="1:7" ht="20.25" customHeight="1">
      <c r="A131" s="3" t="s">
        <v>107</v>
      </c>
      <c r="B131" s="3">
        <f>SUM(B132:B133)</f>
        <v>0</v>
      </c>
      <c r="C131" s="75">
        <f>SUM(C132:C133)</f>
        <v>0</v>
      </c>
      <c r="D131" s="3">
        <f>SUM(D132:D133)</f>
        <v>0</v>
      </c>
      <c r="E131" s="21" t="e">
        <f t="shared" si="2"/>
        <v>#DIV/0!</v>
      </c>
      <c r="F131" s="21" t="e">
        <f t="shared" si="3"/>
        <v>#DIV/0!</v>
      </c>
    </row>
    <row r="132" spans="1:7" ht="20.25" customHeight="1">
      <c r="A132" s="3" t="s">
        <v>34</v>
      </c>
      <c r="B132" s="3"/>
      <c r="C132" s="75"/>
      <c r="D132" s="3"/>
      <c r="E132" s="21" t="e">
        <f t="shared" si="2"/>
        <v>#DIV/0!</v>
      </c>
      <c r="F132" s="21" t="e">
        <f t="shared" si="3"/>
        <v>#DIV/0!</v>
      </c>
    </row>
    <row r="133" spans="1:7" ht="20.25" customHeight="1">
      <c r="A133" s="3" t="s">
        <v>35</v>
      </c>
      <c r="B133" s="3"/>
      <c r="C133" s="75"/>
      <c r="D133" s="3"/>
      <c r="E133" s="21" t="e">
        <f t="shared" si="2"/>
        <v>#DIV/0!</v>
      </c>
      <c r="F133" s="21" t="e">
        <f t="shared" si="3"/>
        <v>#DIV/0!</v>
      </c>
      <c r="G133">
        <v>289</v>
      </c>
    </row>
    <row r="134" spans="1:7" ht="20.25" customHeight="1">
      <c r="A134" s="3" t="s">
        <v>108</v>
      </c>
      <c r="B134" s="3">
        <f>SUM(B135:B141)</f>
        <v>760</v>
      </c>
      <c r="C134" s="75">
        <f>SUM(C135:C141)</f>
        <v>815</v>
      </c>
      <c r="D134" s="3">
        <f>SUM(D135:D141)</f>
        <v>885</v>
      </c>
      <c r="E134" s="21">
        <f t="shared" ref="E134:E197" si="4">(B134-D134)/D134*100</f>
        <v>-14.124293785310735</v>
      </c>
      <c r="F134" s="21">
        <f t="shared" ref="F134:F197" si="5">B134/C134*100</f>
        <v>93.251533742331276</v>
      </c>
    </row>
    <row r="135" spans="1:7" ht="20.25" customHeight="1">
      <c r="A135" s="3" t="s">
        <v>34</v>
      </c>
      <c r="B135" s="3">
        <v>669</v>
      </c>
      <c r="C135" s="75">
        <f>597+100</f>
        <v>697</v>
      </c>
      <c r="D135" s="3">
        <v>640</v>
      </c>
      <c r="E135" s="21">
        <f t="shared" si="4"/>
        <v>4.53125</v>
      </c>
      <c r="F135" s="21">
        <f t="shared" si="5"/>
        <v>95.982783357245339</v>
      </c>
    </row>
    <row r="136" spans="1:7" ht="28.5" customHeight="1">
      <c r="A136" s="3" t="s">
        <v>35</v>
      </c>
      <c r="B136" s="3">
        <f>126-38</f>
        <v>88</v>
      </c>
      <c r="C136" s="75">
        <f>95+49-41</f>
        <v>103</v>
      </c>
      <c r="D136" s="3">
        <v>216</v>
      </c>
      <c r="E136" s="21">
        <f t="shared" si="4"/>
        <v>-59.259259259259252</v>
      </c>
      <c r="F136" s="21">
        <f t="shared" si="5"/>
        <v>85.436893203883486</v>
      </c>
      <c r="G136">
        <v>45</v>
      </c>
    </row>
    <row r="137" spans="1:7" ht="20.25" customHeight="1">
      <c r="A137" s="3" t="s">
        <v>109</v>
      </c>
      <c r="B137" s="3"/>
      <c r="C137" s="75"/>
      <c r="D137" s="3"/>
      <c r="E137" s="21" t="e">
        <f t="shared" si="4"/>
        <v>#DIV/0!</v>
      </c>
      <c r="F137" s="21" t="e">
        <f t="shared" si="5"/>
        <v>#DIV/0!</v>
      </c>
    </row>
    <row r="138" spans="1:7" ht="20.25" customHeight="1">
      <c r="A138" s="3" t="s">
        <v>110</v>
      </c>
      <c r="B138" s="3"/>
      <c r="C138" s="75"/>
      <c r="D138" s="3"/>
      <c r="E138" s="21" t="e">
        <f t="shared" si="4"/>
        <v>#DIV/0!</v>
      </c>
      <c r="F138" s="21" t="e">
        <f t="shared" si="5"/>
        <v>#DIV/0!</v>
      </c>
    </row>
    <row r="139" spans="1:7" ht="20.25" customHeight="1">
      <c r="A139" s="3" t="s">
        <v>111</v>
      </c>
      <c r="B139" s="3"/>
      <c r="C139" s="75"/>
      <c r="D139" s="3">
        <v>29</v>
      </c>
      <c r="E139" s="21">
        <f t="shared" si="4"/>
        <v>-100</v>
      </c>
      <c r="F139" s="21" t="e">
        <f t="shared" si="5"/>
        <v>#DIV/0!</v>
      </c>
      <c r="G139">
        <v>5</v>
      </c>
    </row>
    <row r="140" spans="1:7" ht="20.25" customHeight="1">
      <c r="A140" s="3" t="s">
        <v>46</v>
      </c>
      <c r="B140" s="3"/>
      <c r="C140" s="75"/>
      <c r="D140" s="3"/>
      <c r="E140" s="21" t="e">
        <f t="shared" si="4"/>
        <v>#DIV/0!</v>
      </c>
      <c r="F140" s="21" t="e">
        <f t="shared" si="5"/>
        <v>#DIV/0!</v>
      </c>
    </row>
    <row r="141" spans="1:7" ht="20.25" customHeight="1">
      <c r="A141" s="3" t="s">
        <v>601</v>
      </c>
      <c r="B141" s="3">
        <v>3</v>
      </c>
      <c r="C141" s="75">
        <v>15</v>
      </c>
      <c r="D141" s="3"/>
      <c r="E141" s="21" t="e">
        <f t="shared" si="4"/>
        <v>#DIV/0!</v>
      </c>
      <c r="F141" s="21">
        <f t="shared" si="5"/>
        <v>20</v>
      </c>
    </row>
    <row r="142" spans="1:7" ht="20.25" customHeight="1">
      <c r="A142" s="3" t="s">
        <v>112</v>
      </c>
      <c r="B142" s="3">
        <f>B143</f>
        <v>0</v>
      </c>
      <c r="C142" s="75">
        <f>C143</f>
        <v>0</v>
      </c>
      <c r="D142" s="3">
        <f>D143</f>
        <v>0</v>
      </c>
      <c r="E142" s="21" t="e">
        <f t="shared" si="4"/>
        <v>#DIV/0!</v>
      </c>
      <c r="F142" s="21" t="e">
        <f t="shared" si="5"/>
        <v>#DIV/0!</v>
      </c>
    </row>
    <row r="143" spans="1:7" ht="20.25" customHeight="1">
      <c r="A143" s="3" t="s">
        <v>113</v>
      </c>
      <c r="B143" s="3"/>
      <c r="C143" s="75"/>
      <c r="D143" s="3"/>
      <c r="E143" s="21" t="e">
        <f t="shared" si="4"/>
        <v>#DIV/0!</v>
      </c>
      <c r="F143" s="21" t="e">
        <f t="shared" si="5"/>
        <v>#DIV/0!</v>
      </c>
    </row>
    <row r="144" spans="1:7" ht="20.25" customHeight="1">
      <c r="A144" s="3" t="s">
        <v>114</v>
      </c>
      <c r="B144" s="3">
        <f>B145</f>
        <v>0</v>
      </c>
      <c r="C144" s="75">
        <f>C145</f>
        <v>0</v>
      </c>
      <c r="D144" s="3">
        <f>D145</f>
        <v>0</v>
      </c>
      <c r="E144" s="21" t="e">
        <f t="shared" si="4"/>
        <v>#DIV/0!</v>
      </c>
      <c r="F144" s="21" t="e">
        <f t="shared" si="5"/>
        <v>#DIV/0!</v>
      </c>
    </row>
    <row r="145" spans="1:7" ht="20.25" customHeight="1">
      <c r="A145" s="3" t="s">
        <v>115</v>
      </c>
      <c r="B145" s="3"/>
      <c r="C145" s="75"/>
      <c r="D145" s="3"/>
      <c r="E145" s="21" t="e">
        <f t="shared" si="4"/>
        <v>#DIV/0!</v>
      </c>
      <c r="F145" s="21" t="e">
        <f t="shared" si="5"/>
        <v>#DIV/0!</v>
      </c>
    </row>
    <row r="146" spans="1:7" ht="20.25" customHeight="1">
      <c r="A146" s="3" t="s">
        <v>116</v>
      </c>
      <c r="B146" s="3">
        <f>B147+B151+B158+B161+B163+B166+B169</f>
        <v>30957</v>
      </c>
      <c r="C146" s="75">
        <f>C147+C151+C158+C161+C163+C166+C169</f>
        <v>34501</v>
      </c>
      <c r="D146" s="3">
        <f>D147+D151+D158+D161+D163+D166+D169</f>
        <v>33900</v>
      </c>
      <c r="E146" s="21">
        <f t="shared" si="4"/>
        <v>-8.6814159292035402</v>
      </c>
      <c r="F146" s="21">
        <f t="shared" si="5"/>
        <v>89.727833975826783</v>
      </c>
    </row>
    <row r="147" spans="1:7" ht="20.25" customHeight="1">
      <c r="A147" s="3" t="s">
        <v>117</v>
      </c>
      <c r="B147" s="3">
        <f>SUM(B148:B150)</f>
        <v>183</v>
      </c>
      <c r="C147" s="75">
        <f>SUM(C148:C150)</f>
        <v>186</v>
      </c>
      <c r="D147" s="3">
        <f>SUM(D148:D150)</f>
        <v>173</v>
      </c>
      <c r="E147" s="21">
        <f t="shared" si="4"/>
        <v>5.7803468208092488</v>
      </c>
      <c r="F147" s="21">
        <f t="shared" si="5"/>
        <v>98.387096774193552</v>
      </c>
    </row>
    <row r="148" spans="1:7" ht="20.25" customHeight="1">
      <c r="A148" s="3" t="s">
        <v>34</v>
      </c>
      <c r="B148" s="3">
        <v>183</v>
      </c>
      <c r="C148" s="75">
        <v>186</v>
      </c>
      <c r="D148" s="3">
        <v>173</v>
      </c>
      <c r="E148" s="21">
        <f t="shared" si="4"/>
        <v>5.7803468208092488</v>
      </c>
      <c r="F148" s="21">
        <f t="shared" si="5"/>
        <v>98.387096774193552</v>
      </c>
    </row>
    <row r="149" spans="1:7" ht="20.25" customHeight="1">
      <c r="A149" s="3" t="s">
        <v>35</v>
      </c>
      <c r="B149" s="3"/>
      <c r="C149" s="75"/>
      <c r="D149" s="3"/>
      <c r="E149" s="21" t="e">
        <f t="shared" si="4"/>
        <v>#DIV/0!</v>
      </c>
      <c r="F149" s="21" t="e">
        <f t="shared" si="5"/>
        <v>#DIV/0!</v>
      </c>
    </row>
    <row r="150" spans="1:7" ht="20.25" customHeight="1">
      <c r="A150" s="3" t="s">
        <v>602</v>
      </c>
      <c r="B150" s="3"/>
      <c r="C150" s="75"/>
      <c r="D150" s="3"/>
      <c r="E150" s="21" t="e">
        <f t="shared" si="4"/>
        <v>#DIV/0!</v>
      </c>
      <c r="F150" s="21" t="e">
        <f t="shared" si="5"/>
        <v>#DIV/0!</v>
      </c>
    </row>
    <row r="151" spans="1:7" ht="20.25" customHeight="1">
      <c r="A151" s="3" t="s">
        <v>118</v>
      </c>
      <c r="B151" s="3">
        <f>SUM(B152:B157)</f>
        <v>28910</v>
      </c>
      <c r="C151" s="75">
        <f>SUM(C152:C157)</f>
        <v>31434</v>
      </c>
      <c r="D151" s="3">
        <f>SUM(D152:D157)</f>
        <v>31090</v>
      </c>
      <c r="E151" s="21">
        <f t="shared" si="4"/>
        <v>-7.0119009327758119</v>
      </c>
      <c r="F151" s="21">
        <f t="shared" si="5"/>
        <v>91.970477826557229</v>
      </c>
    </row>
    <row r="152" spans="1:7" ht="20.25" customHeight="1">
      <c r="A152" s="3" t="s">
        <v>119</v>
      </c>
      <c r="B152" s="3">
        <v>634</v>
      </c>
      <c r="C152" s="75">
        <f>175+500</f>
        <v>675</v>
      </c>
      <c r="D152" s="3">
        <v>576</v>
      </c>
      <c r="E152" s="21">
        <f t="shared" si="4"/>
        <v>10.069444444444445</v>
      </c>
      <c r="F152" s="21">
        <f t="shared" si="5"/>
        <v>93.925925925925924</v>
      </c>
      <c r="G152">
        <v>131</v>
      </c>
    </row>
    <row r="153" spans="1:7" ht="20.25" customHeight="1">
      <c r="A153" s="3" t="s">
        <v>120</v>
      </c>
      <c r="B153" s="3">
        <f>12483-22</f>
        <v>12461</v>
      </c>
      <c r="C153" s="75">
        <f>1049+11500+1000-25</f>
        <v>13524</v>
      </c>
      <c r="D153" s="3">
        <v>14395</v>
      </c>
      <c r="E153" s="21">
        <f t="shared" si="4"/>
        <v>-13.435220562695379</v>
      </c>
      <c r="F153" s="21">
        <f t="shared" si="5"/>
        <v>92.139899438036082</v>
      </c>
      <c r="G153">
        <v>2572</v>
      </c>
    </row>
    <row r="154" spans="1:7" ht="20.25" customHeight="1">
      <c r="A154" s="3" t="s">
        <v>121</v>
      </c>
      <c r="B154" s="3">
        <f>8491-21</f>
        <v>8470</v>
      </c>
      <c r="C154" s="75">
        <f>791+7900+640</f>
        <v>9331</v>
      </c>
      <c r="D154" s="3">
        <v>9128</v>
      </c>
      <c r="E154" s="21">
        <f t="shared" si="4"/>
        <v>-7.2085889570552144</v>
      </c>
      <c r="F154" s="21">
        <f t="shared" si="5"/>
        <v>90.772693173293334</v>
      </c>
      <c r="G154">
        <v>357</v>
      </c>
    </row>
    <row r="155" spans="1:7" ht="20.25" customHeight="1">
      <c r="A155" s="3" t="s">
        <v>122</v>
      </c>
      <c r="B155" s="3">
        <v>3735</v>
      </c>
      <c r="C155" s="75">
        <f>83+3700+145</f>
        <v>3928</v>
      </c>
      <c r="D155" s="3">
        <v>4289</v>
      </c>
      <c r="E155" s="21">
        <f t="shared" si="4"/>
        <v>-12.916763814408952</v>
      </c>
      <c r="F155" s="21">
        <f t="shared" si="5"/>
        <v>95.086558044806509</v>
      </c>
      <c r="G155">
        <v>32</v>
      </c>
    </row>
    <row r="156" spans="1:7" ht="20.25" customHeight="1">
      <c r="A156" s="3" t="s">
        <v>123</v>
      </c>
      <c r="B156" s="3"/>
      <c r="C156" s="75"/>
      <c r="D156" s="3"/>
      <c r="E156" s="21" t="e">
        <f t="shared" si="4"/>
        <v>#DIV/0!</v>
      </c>
      <c r="F156" s="21" t="e">
        <f t="shared" si="5"/>
        <v>#DIV/0!</v>
      </c>
    </row>
    <row r="157" spans="1:7" ht="20.25" customHeight="1">
      <c r="A157" s="3" t="s">
        <v>124</v>
      </c>
      <c r="B157" s="3">
        <v>3610</v>
      </c>
      <c r="C157" s="75">
        <f>3426+550</f>
        <v>3976</v>
      </c>
      <c r="D157" s="3">
        <v>2702</v>
      </c>
      <c r="E157" s="21">
        <f t="shared" si="4"/>
        <v>33.60473723168024</v>
      </c>
      <c r="F157" s="21">
        <f t="shared" si="5"/>
        <v>90.794768611670023</v>
      </c>
      <c r="G157">
        <v>5135</v>
      </c>
    </row>
    <row r="158" spans="1:7" ht="20.25" customHeight="1">
      <c r="A158" s="3" t="s">
        <v>125</v>
      </c>
      <c r="B158" s="3">
        <f>SUM(B159:B160)</f>
        <v>872</v>
      </c>
      <c r="C158" s="75">
        <f>SUM(C159:C160)</f>
        <v>927</v>
      </c>
      <c r="D158" s="3">
        <f>SUM(D159:D160)</f>
        <v>894</v>
      </c>
      <c r="E158" s="21">
        <f t="shared" si="4"/>
        <v>-2.4608501118568231</v>
      </c>
      <c r="F158" s="21">
        <f t="shared" si="5"/>
        <v>94.066882416396979</v>
      </c>
    </row>
    <row r="159" spans="1:7" ht="20.25" customHeight="1">
      <c r="A159" s="3" t="s">
        <v>126</v>
      </c>
      <c r="B159" s="3">
        <v>872</v>
      </c>
      <c r="C159" s="75">
        <f>280+647</f>
        <v>927</v>
      </c>
      <c r="D159" s="3">
        <v>894</v>
      </c>
      <c r="E159" s="21">
        <f t="shared" si="4"/>
        <v>-2.4608501118568231</v>
      </c>
      <c r="F159" s="21">
        <f t="shared" si="5"/>
        <v>94.066882416396979</v>
      </c>
      <c r="G159">
        <v>170</v>
      </c>
    </row>
    <row r="160" spans="1:7" ht="20.25" customHeight="1">
      <c r="A160" s="3" t="s">
        <v>603</v>
      </c>
      <c r="B160" s="3"/>
      <c r="C160" s="75"/>
      <c r="D160" s="3"/>
      <c r="E160" s="21" t="e">
        <f t="shared" si="4"/>
        <v>#DIV/0!</v>
      </c>
      <c r="F160" s="21" t="e">
        <f t="shared" si="5"/>
        <v>#DIV/0!</v>
      </c>
    </row>
    <row r="161" spans="1:7" ht="20.25" customHeight="1">
      <c r="A161" s="3" t="s">
        <v>127</v>
      </c>
      <c r="B161" s="3">
        <f>B162</f>
        <v>211</v>
      </c>
      <c r="C161" s="75">
        <f>C162</f>
        <v>210</v>
      </c>
      <c r="D161" s="3">
        <f>D162</f>
        <v>130</v>
      </c>
      <c r="E161" s="21">
        <f t="shared" si="4"/>
        <v>62.307692307692307</v>
      </c>
      <c r="F161" s="21">
        <f t="shared" si="5"/>
        <v>100.47619047619048</v>
      </c>
    </row>
    <row r="162" spans="1:7" ht="20.25" customHeight="1">
      <c r="A162" s="3" t="s">
        <v>128</v>
      </c>
      <c r="B162" s="3">
        <v>211</v>
      </c>
      <c r="C162" s="75">
        <f>61+149</f>
        <v>210</v>
      </c>
      <c r="D162" s="3">
        <v>130</v>
      </c>
      <c r="E162" s="21">
        <f t="shared" si="4"/>
        <v>62.307692307692307</v>
      </c>
      <c r="F162" s="21">
        <f t="shared" si="5"/>
        <v>100.47619047619048</v>
      </c>
      <c r="G162">
        <v>23</v>
      </c>
    </row>
    <row r="163" spans="1:7" ht="20.25" customHeight="1">
      <c r="A163" s="3" t="s">
        <v>129</v>
      </c>
      <c r="B163" s="3">
        <f>SUM(B164:B165)</f>
        <v>559</v>
      </c>
      <c r="C163" s="75">
        <f>SUM(C164:C165)</f>
        <v>571</v>
      </c>
      <c r="D163" s="3">
        <f>SUM(D164:D165)</f>
        <v>539</v>
      </c>
      <c r="E163" s="21">
        <f t="shared" si="4"/>
        <v>3.710575139146568</v>
      </c>
      <c r="F163" s="21">
        <f t="shared" si="5"/>
        <v>97.898423817863403</v>
      </c>
    </row>
    <row r="164" spans="1:7" ht="20.25" customHeight="1">
      <c r="A164" s="3" t="s">
        <v>130</v>
      </c>
      <c r="B164" s="3">
        <v>515</v>
      </c>
      <c r="C164" s="75">
        <v>526</v>
      </c>
      <c r="D164" s="3">
        <v>512</v>
      </c>
      <c r="E164" s="21">
        <f t="shared" si="4"/>
        <v>0.5859375</v>
      </c>
      <c r="F164" s="21">
        <f t="shared" si="5"/>
        <v>97.908745247148289</v>
      </c>
    </row>
    <row r="165" spans="1:7" ht="20.25" customHeight="1">
      <c r="A165" s="3" t="s">
        <v>131</v>
      </c>
      <c r="B165" s="3">
        <v>44</v>
      </c>
      <c r="C165" s="75">
        <v>45</v>
      </c>
      <c r="D165" s="3">
        <v>27</v>
      </c>
      <c r="E165" s="21">
        <f t="shared" si="4"/>
        <v>62.962962962962962</v>
      </c>
      <c r="F165" s="21">
        <f t="shared" si="5"/>
        <v>97.777777777777771</v>
      </c>
    </row>
    <row r="166" spans="1:7" ht="20.25" customHeight="1">
      <c r="A166" s="3" t="s">
        <v>132</v>
      </c>
      <c r="B166" s="3">
        <f>SUM(B167:B168)</f>
        <v>222</v>
      </c>
      <c r="C166" s="75">
        <f>SUM(C167:C168)</f>
        <v>1173</v>
      </c>
      <c r="D166" s="3">
        <f>SUM(D167:D168)</f>
        <v>1074</v>
      </c>
      <c r="E166" s="21">
        <f t="shared" si="4"/>
        <v>-79.329608938547494</v>
      </c>
      <c r="F166" s="21">
        <f t="shared" si="5"/>
        <v>18.925831202046037</v>
      </c>
    </row>
    <row r="167" spans="1:7" ht="20.25" customHeight="1">
      <c r="A167" s="3" t="s">
        <v>133</v>
      </c>
      <c r="B167" s="3"/>
      <c r="C167" s="75"/>
      <c r="D167" s="3">
        <v>366</v>
      </c>
      <c r="E167" s="21">
        <f t="shared" si="4"/>
        <v>-100</v>
      </c>
      <c r="F167" s="21" t="e">
        <f t="shared" si="5"/>
        <v>#DIV/0!</v>
      </c>
    </row>
    <row r="168" spans="1:7" ht="20.25" customHeight="1">
      <c r="A168" s="3" t="s">
        <v>134</v>
      </c>
      <c r="B168" s="3">
        <v>222</v>
      </c>
      <c r="C168" s="75">
        <v>1173</v>
      </c>
      <c r="D168" s="3">
        <v>708</v>
      </c>
      <c r="E168" s="21">
        <f t="shared" si="4"/>
        <v>-68.644067796610159</v>
      </c>
      <c r="F168" s="21">
        <f t="shared" si="5"/>
        <v>18.925831202046037</v>
      </c>
      <c r="G168">
        <v>46</v>
      </c>
    </row>
    <row r="169" spans="1:7" ht="20.25" customHeight="1">
      <c r="A169" s="3" t="s">
        <v>135</v>
      </c>
      <c r="B169" s="3">
        <f>B170</f>
        <v>0</v>
      </c>
      <c r="C169" s="75">
        <f>C170</f>
        <v>0</v>
      </c>
      <c r="D169" s="3">
        <f>D170</f>
        <v>0</v>
      </c>
      <c r="E169" s="21" t="e">
        <f t="shared" si="4"/>
        <v>#DIV/0!</v>
      </c>
      <c r="F169" s="21" t="e">
        <f t="shared" si="5"/>
        <v>#DIV/0!</v>
      </c>
    </row>
    <row r="170" spans="1:7" ht="20.25" customHeight="1">
      <c r="A170" s="3" t="s">
        <v>136</v>
      </c>
      <c r="B170" s="3"/>
      <c r="C170" s="75"/>
      <c r="D170" s="3"/>
      <c r="E170" s="21" t="e">
        <f t="shared" si="4"/>
        <v>#DIV/0!</v>
      </c>
      <c r="F170" s="21" t="e">
        <f t="shared" si="5"/>
        <v>#DIV/0!</v>
      </c>
      <c r="G170">
        <v>71</v>
      </c>
    </row>
    <row r="171" spans="1:7" ht="20.25" customHeight="1">
      <c r="A171" s="3" t="s">
        <v>137</v>
      </c>
      <c r="B171" s="3">
        <f>B172+B176+B179+B183</f>
        <v>78</v>
      </c>
      <c r="C171" s="75">
        <f>C172+C176+C179+C183</f>
        <v>78</v>
      </c>
      <c r="D171" s="3">
        <f>D172+D176+D179+D183</f>
        <v>538</v>
      </c>
      <c r="E171" s="21">
        <f t="shared" si="4"/>
        <v>-85.501858736059475</v>
      </c>
      <c r="F171" s="21">
        <f t="shared" si="5"/>
        <v>100</v>
      </c>
    </row>
    <row r="172" spans="1:7" ht="20.25" customHeight="1">
      <c r="A172" s="3" t="s">
        <v>138</v>
      </c>
      <c r="B172" s="3">
        <f>SUM(B173:B175)</f>
        <v>28</v>
      </c>
      <c r="C172" s="75">
        <f>SUM(C173:C175)</f>
        <v>28</v>
      </c>
      <c r="D172" s="3">
        <f>SUM(D173:D175)</f>
        <v>24</v>
      </c>
      <c r="E172" s="21">
        <f t="shared" si="4"/>
        <v>16.666666666666664</v>
      </c>
      <c r="F172" s="21">
        <f t="shared" si="5"/>
        <v>100</v>
      </c>
    </row>
    <row r="173" spans="1:7" ht="20.25" customHeight="1">
      <c r="A173" s="3" t="s">
        <v>34</v>
      </c>
      <c r="B173" s="3">
        <v>28</v>
      </c>
      <c r="C173" s="75">
        <v>28</v>
      </c>
      <c r="D173" s="3">
        <v>21</v>
      </c>
      <c r="E173" s="21">
        <f t="shared" si="4"/>
        <v>33.333333333333329</v>
      </c>
      <c r="F173" s="21">
        <f t="shared" si="5"/>
        <v>100</v>
      </c>
    </row>
    <row r="174" spans="1:7" ht="20.25" customHeight="1">
      <c r="A174" s="3" t="s">
        <v>35</v>
      </c>
      <c r="B174" s="3"/>
      <c r="C174" s="75"/>
      <c r="D174" s="3"/>
      <c r="E174" s="21" t="e">
        <f t="shared" si="4"/>
        <v>#DIV/0!</v>
      </c>
      <c r="F174" s="21" t="e">
        <f t="shared" si="5"/>
        <v>#DIV/0!</v>
      </c>
    </row>
    <row r="175" spans="1:7" ht="20.25" customHeight="1">
      <c r="A175" s="3" t="s">
        <v>139</v>
      </c>
      <c r="B175" s="3"/>
      <c r="C175" s="75"/>
      <c r="D175" s="3">
        <v>3</v>
      </c>
      <c r="E175" s="21">
        <f t="shared" si="4"/>
        <v>-100</v>
      </c>
      <c r="F175" s="21" t="e">
        <f t="shared" si="5"/>
        <v>#DIV/0!</v>
      </c>
    </row>
    <row r="176" spans="1:7" ht="20.25" customHeight="1">
      <c r="A176" s="3" t="s">
        <v>140</v>
      </c>
      <c r="B176" s="3">
        <f>SUM(B177:B178)</f>
        <v>32</v>
      </c>
      <c r="C176" s="75">
        <f>SUM(C177:C178)</f>
        <v>32</v>
      </c>
      <c r="D176" s="3">
        <f>SUM(D177:D178)</f>
        <v>502</v>
      </c>
      <c r="E176" s="21">
        <f t="shared" si="4"/>
        <v>-93.625498007968119</v>
      </c>
      <c r="F176" s="21">
        <f t="shared" si="5"/>
        <v>100</v>
      </c>
    </row>
    <row r="177" spans="1:7" ht="20.25" customHeight="1">
      <c r="A177" s="3" t="s">
        <v>141</v>
      </c>
      <c r="B177" s="3">
        <v>32</v>
      </c>
      <c r="C177" s="75">
        <v>32</v>
      </c>
      <c r="D177" s="3">
        <v>202</v>
      </c>
      <c r="E177" s="21">
        <f t="shared" si="4"/>
        <v>-84.158415841584159</v>
      </c>
      <c r="F177" s="21">
        <f t="shared" si="5"/>
        <v>100</v>
      </c>
    </row>
    <row r="178" spans="1:7" ht="20.25" customHeight="1">
      <c r="A178" s="3" t="s">
        <v>142</v>
      </c>
      <c r="B178" s="3"/>
      <c r="C178" s="75"/>
      <c r="D178" s="3">
        <v>300</v>
      </c>
      <c r="E178" s="21">
        <f t="shared" si="4"/>
        <v>-100</v>
      </c>
      <c r="F178" s="21" t="e">
        <f t="shared" si="5"/>
        <v>#DIV/0!</v>
      </c>
    </row>
    <row r="179" spans="1:7" ht="20.25" customHeight="1">
      <c r="A179" s="3" t="s">
        <v>143</v>
      </c>
      <c r="B179" s="3">
        <f>SUM(B180:B182)</f>
        <v>18</v>
      </c>
      <c r="C179" s="75">
        <f>SUM(C180:C182)</f>
        <v>18</v>
      </c>
      <c r="D179" s="3">
        <f>SUM(D180:D182)</f>
        <v>12</v>
      </c>
      <c r="E179" s="21">
        <f t="shared" si="4"/>
        <v>50</v>
      </c>
      <c r="F179" s="21">
        <f t="shared" si="5"/>
        <v>100</v>
      </c>
    </row>
    <row r="180" spans="1:7" ht="20.25" customHeight="1">
      <c r="A180" s="3" t="s">
        <v>144</v>
      </c>
      <c r="B180" s="3"/>
      <c r="C180" s="75"/>
      <c r="D180" s="3"/>
      <c r="E180" s="21" t="e">
        <f t="shared" si="4"/>
        <v>#DIV/0!</v>
      </c>
      <c r="F180" s="21" t="e">
        <f t="shared" si="5"/>
        <v>#DIV/0!</v>
      </c>
    </row>
    <row r="181" spans="1:7" ht="20.25" customHeight="1">
      <c r="A181" s="3" t="s">
        <v>145</v>
      </c>
      <c r="B181" s="3">
        <v>3</v>
      </c>
      <c r="C181" s="75">
        <v>3</v>
      </c>
      <c r="D181" s="3"/>
      <c r="E181" s="21" t="e">
        <f t="shared" si="4"/>
        <v>#DIV/0!</v>
      </c>
      <c r="F181" s="21">
        <f t="shared" si="5"/>
        <v>100</v>
      </c>
    </row>
    <row r="182" spans="1:7" ht="20.25" customHeight="1">
      <c r="A182" s="3" t="s">
        <v>146</v>
      </c>
      <c r="B182" s="3">
        <v>15</v>
      </c>
      <c r="C182" s="75">
        <v>15</v>
      </c>
      <c r="D182" s="3">
        <v>12</v>
      </c>
      <c r="E182" s="21">
        <f t="shared" si="4"/>
        <v>25</v>
      </c>
      <c r="F182" s="21">
        <f t="shared" si="5"/>
        <v>100</v>
      </c>
    </row>
    <row r="183" spans="1:7" ht="20.25" customHeight="1">
      <c r="A183" s="3" t="s">
        <v>147</v>
      </c>
      <c r="B183" s="3">
        <f>B184</f>
        <v>0</v>
      </c>
      <c r="C183" s="75"/>
      <c r="D183" s="3">
        <f>D184</f>
        <v>0</v>
      </c>
      <c r="E183" s="21" t="e">
        <f t="shared" si="4"/>
        <v>#DIV/0!</v>
      </c>
      <c r="F183" s="21" t="e">
        <f t="shared" si="5"/>
        <v>#DIV/0!</v>
      </c>
    </row>
    <row r="184" spans="1:7" ht="20.25" customHeight="1">
      <c r="A184" s="3" t="s">
        <v>148</v>
      </c>
      <c r="B184" s="3"/>
      <c r="C184" s="75"/>
      <c r="D184" s="3"/>
      <c r="E184" s="21" t="e">
        <f t="shared" si="4"/>
        <v>#DIV/0!</v>
      </c>
      <c r="F184" s="21" t="e">
        <f t="shared" si="5"/>
        <v>#DIV/0!</v>
      </c>
    </row>
    <row r="185" spans="1:7" ht="20.25" customHeight="1">
      <c r="A185" s="3" t="s">
        <v>149</v>
      </c>
      <c r="B185" s="3">
        <f>B186+B195+B199+B202+B207</f>
        <v>1538</v>
      </c>
      <c r="C185" s="75">
        <f t="shared" ref="C185:D185" si="6">C186+C195+C199+C202+C207</f>
        <v>2206</v>
      </c>
      <c r="D185" s="3">
        <f t="shared" si="6"/>
        <v>2586</v>
      </c>
      <c r="E185" s="21">
        <f t="shared" si="4"/>
        <v>-40.525908739365818</v>
      </c>
      <c r="F185" s="21">
        <f t="shared" si="5"/>
        <v>69.71894832275612</v>
      </c>
    </row>
    <row r="186" spans="1:7" ht="20.25" customHeight="1">
      <c r="A186" s="3" t="s">
        <v>150</v>
      </c>
      <c r="B186" s="3">
        <f>SUM(B187:B194)</f>
        <v>411</v>
      </c>
      <c r="C186" s="75">
        <f t="shared" ref="C186:D186" si="7">SUM(C187:C194)</f>
        <v>425</v>
      </c>
      <c r="D186" s="3">
        <f t="shared" si="7"/>
        <v>491</v>
      </c>
      <c r="E186" s="21">
        <f t="shared" si="4"/>
        <v>-16.293279022403258</v>
      </c>
      <c r="F186" s="21">
        <f t="shared" si="5"/>
        <v>96.705882352941174</v>
      </c>
    </row>
    <row r="187" spans="1:7" ht="20.25" customHeight="1">
      <c r="A187" s="3" t="s">
        <v>34</v>
      </c>
      <c r="B187" s="3">
        <v>120</v>
      </c>
      <c r="C187" s="75">
        <v>128</v>
      </c>
      <c r="D187" s="3">
        <v>113</v>
      </c>
      <c r="E187" s="21">
        <f t="shared" si="4"/>
        <v>6.1946902654867255</v>
      </c>
      <c r="F187" s="21">
        <f t="shared" si="5"/>
        <v>93.75</v>
      </c>
    </row>
    <row r="188" spans="1:7" ht="20.25" customHeight="1">
      <c r="A188" s="3" t="s">
        <v>35</v>
      </c>
      <c r="B188" s="3"/>
      <c r="C188" s="75"/>
      <c r="D188" s="3"/>
      <c r="E188" s="21" t="e">
        <f t="shared" si="4"/>
        <v>#DIV/0!</v>
      </c>
      <c r="F188" s="21" t="e">
        <f t="shared" si="5"/>
        <v>#DIV/0!</v>
      </c>
    </row>
    <row r="189" spans="1:7" ht="20.25" customHeight="1">
      <c r="A189" s="3" t="s">
        <v>151</v>
      </c>
      <c r="B189" s="3">
        <v>65</v>
      </c>
      <c r="C189" s="75">
        <v>66</v>
      </c>
      <c r="D189" s="3">
        <v>49</v>
      </c>
      <c r="E189" s="21">
        <f t="shared" si="4"/>
        <v>32.653061224489797</v>
      </c>
      <c r="F189" s="21">
        <f t="shared" si="5"/>
        <v>98.484848484848484</v>
      </c>
    </row>
    <row r="190" spans="1:7" ht="20.25" customHeight="1">
      <c r="A190" s="3" t="s">
        <v>152</v>
      </c>
      <c r="B190" s="3">
        <v>74</v>
      </c>
      <c r="C190" s="75">
        <v>75</v>
      </c>
      <c r="D190" s="3">
        <v>75</v>
      </c>
      <c r="E190" s="21">
        <f t="shared" si="4"/>
        <v>-1.3333333333333335</v>
      </c>
      <c r="F190" s="21">
        <f t="shared" si="5"/>
        <v>98.666666666666671</v>
      </c>
      <c r="G190">
        <v>5</v>
      </c>
    </row>
    <row r="191" spans="1:7" ht="20.25" customHeight="1">
      <c r="A191" s="3" t="s">
        <v>153</v>
      </c>
      <c r="B191" s="3"/>
      <c r="C191" s="75"/>
      <c r="D191" s="3">
        <v>18</v>
      </c>
      <c r="E191" s="21">
        <f t="shared" si="4"/>
        <v>-100</v>
      </c>
      <c r="F191" s="21" t="e">
        <f t="shared" si="5"/>
        <v>#DIV/0!</v>
      </c>
    </row>
    <row r="192" spans="1:7" ht="20.25" customHeight="1">
      <c r="A192" s="3" t="s">
        <v>154</v>
      </c>
      <c r="B192" s="3">
        <v>71</v>
      </c>
      <c r="C192" s="75">
        <v>75</v>
      </c>
      <c r="D192" s="3">
        <v>69</v>
      </c>
      <c r="E192" s="21">
        <f t="shared" si="4"/>
        <v>2.8985507246376812</v>
      </c>
      <c r="F192" s="21">
        <f t="shared" si="5"/>
        <v>94.666666666666671</v>
      </c>
    </row>
    <row r="193" spans="1:7" ht="20.25" customHeight="1">
      <c r="A193" s="3" t="s">
        <v>155</v>
      </c>
      <c r="B193" s="3"/>
      <c r="C193" s="75"/>
      <c r="D193" s="3"/>
      <c r="E193" s="21" t="e">
        <f t="shared" si="4"/>
        <v>#DIV/0!</v>
      </c>
      <c r="F193" s="21" t="e">
        <f t="shared" si="5"/>
        <v>#DIV/0!</v>
      </c>
    </row>
    <row r="194" spans="1:7" ht="20.25" customHeight="1">
      <c r="A194" s="3" t="s">
        <v>156</v>
      </c>
      <c r="B194" s="3">
        <v>81</v>
      </c>
      <c r="C194" s="75">
        <v>81</v>
      </c>
      <c r="D194" s="3">
        <v>167</v>
      </c>
      <c r="E194" s="21">
        <f t="shared" si="4"/>
        <v>-51.49700598802395</v>
      </c>
      <c r="F194" s="21">
        <f t="shared" si="5"/>
        <v>100</v>
      </c>
      <c r="G194">
        <v>23</v>
      </c>
    </row>
    <row r="195" spans="1:7" ht="20.25" customHeight="1">
      <c r="A195" s="3" t="s">
        <v>157</v>
      </c>
      <c r="B195" s="3">
        <f>SUM(B196:B198)</f>
        <v>547</v>
      </c>
      <c r="C195" s="75">
        <f>SUM(C196:C198)</f>
        <v>610</v>
      </c>
      <c r="D195" s="3">
        <f>SUM(D196:D198)</f>
        <v>575</v>
      </c>
      <c r="E195" s="21">
        <f t="shared" si="4"/>
        <v>-4.8695652173913047</v>
      </c>
      <c r="F195" s="21">
        <f t="shared" si="5"/>
        <v>89.672131147540981</v>
      </c>
    </row>
    <row r="196" spans="1:7" ht="20.25" customHeight="1">
      <c r="A196" s="3" t="s">
        <v>34</v>
      </c>
      <c r="B196" s="3"/>
      <c r="C196" s="75"/>
      <c r="D196" s="3"/>
      <c r="E196" s="21" t="e">
        <f t="shared" si="4"/>
        <v>#DIV/0!</v>
      </c>
      <c r="F196" s="21" t="e">
        <f t="shared" si="5"/>
        <v>#DIV/0!</v>
      </c>
    </row>
    <row r="197" spans="1:7" ht="20.25" customHeight="1">
      <c r="A197" s="3" t="s">
        <v>158</v>
      </c>
      <c r="B197" s="3">
        <v>425</v>
      </c>
      <c r="C197" s="75">
        <f>426+58</f>
        <v>484</v>
      </c>
      <c r="D197" s="3">
        <v>58</v>
      </c>
      <c r="E197" s="21">
        <f t="shared" si="4"/>
        <v>632.75862068965512</v>
      </c>
      <c r="F197" s="21">
        <f t="shared" si="5"/>
        <v>87.809917355371908</v>
      </c>
      <c r="G197">
        <v>316</v>
      </c>
    </row>
    <row r="198" spans="1:7" ht="20.25" customHeight="1">
      <c r="A198" s="3" t="s">
        <v>159</v>
      </c>
      <c r="B198" s="3">
        <v>122</v>
      </c>
      <c r="C198" s="75">
        <v>126</v>
      </c>
      <c r="D198" s="3">
        <v>517</v>
      </c>
      <c r="E198" s="21">
        <f t="shared" ref="E198:E261" si="8">(B198-D198)/D198*100</f>
        <v>-76.40232108317214</v>
      </c>
      <c r="F198" s="21">
        <f t="shared" ref="F198:F261" si="9">B198/C198*100</f>
        <v>96.825396825396822</v>
      </c>
    </row>
    <row r="199" spans="1:7" ht="20.25" customHeight="1">
      <c r="A199" s="3" t="s">
        <v>160</v>
      </c>
      <c r="B199" s="3">
        <f>SUM(B200:B201)</f>
        <v>5</v>
      </c>
      <c r="C199" s="75">
        <f t="shared" ref="C199:D199" si="10">SUM(C200:C201)</f>
        <v>5</v>
      </c>
      <c r="D199" s="3">
        <f t="shared" si="10"/>
        <v>0</v>
      </c>
      <c r="E199" s="21" t="e">
        <f t="shared" si="8"/>
        <v>#DIV/0!</v>
      </c>
      <c r="F199" s="21">
        <f t="shared" si="9"/>
        <v>100</v>
      </c>
    </row>
    <row r="200" spans="1:7" s="42" customFormat="1" ht="20.25" customHeight="1">
      <c r="A200" s="3" t="s">
        <v>640</v>
      </c>
      <c r="B200" s="3">
        <v>5</v>
      </c>
      <c r="C200" s="75">
        <v>5</v>
      </c>
      <c r="D200" s="3"/>
      <c r="E200" s="21" t="e">
        <f t="shared" si="8"/>
        <v>#DIV/0!</v>
      </c>
      <c r="F200" s="21">
        <f t="shared" si="9"/>
        <v>100</v>
      </c>
    </row>
    <row r="201" spans="1:7" ht="20.25" customHeight="1">
      <c r="A201" s="3" t="s">
        <v>161</v>
      </c>
      <c r="B201" s="3"/>
      <c r="C201" s="75"/>
      <c r="D201" s="3"/>
      <c r="E201" s="21" t="e">
        <f t="shared" si="8"/>
        <v>#DIV/0!</v>
      </c>
      <c r="F201" s="21" t="e">
        <f t="shared" si="9"/>
        <v>#DIV/0!</v>
      </c>
    </row>
    <row r="202" spans="1:7" ht="20.25" customHeight="1">
      <c r="A202" s="3" t="s">
        <v>162</v>
      </c>
      <c r="B202" s="3">
        <f>SUM(B203:B206)</f>
        <v>372</v>
      </c>
      <c r="C202" s="75">
        <f>SUM(C203:C206)</f>
        <v>946</v>
      </c>
      <c r="D202" s="3">
        <f>SUM(D203:D206)</f>
        <v>1158</v>
      </c>
      <c r="E202" s="21">
        <f t="shared" si="8"/>
        <v>-67.875647668393782</v>
      </c>
      <c r="F202" s="21">
        <f t="shared" si="9"/>
        <v>39.323467230443974</v>
      </c>
    </row>
    <row r="203" spans="1:7" ht="20.25" customHeight="1">
      <c r="A203" s="3" t="s">
        <v>34</v>
      </c>
      <c r="B203" s="3"/>
      <c r="C203" s="75"/>
      <c r="D203" s="3">
        <v>59</v>
      </c>
      <c r="E203" s="21">
        <f t="shared" si="8"/>
        <v>-100</v>
      </c>
      <c r="F203" s="21" t="e">
        <f t="shared" si="9"/>
        <v>#DIV/0!</v>
      </c>
    </row>
    <row r="204" spans="1:7" s="42" customFormat="1" ht="20.25" customHeight="1">
      <c r="A204" s="3" t="s">
        <v>641</v>
      </c>
      <c r="B204" s="3">
        <v>16</v>
      </c>
      <c r="C204" s="75">
        <v>16</v>
      </c>
      <c r="D204" s="3"/>
      <c r="E204" s="21" t="e">
        <f t="shared" si="8"/>
        <v>#DIV/0!</v>
      </c>
      <c r="F204" s="21">
        <f t="shared" si="9"/>
        <v>100</v>
      </c>
    </row>
    <row r="205" spans="1:7" ht="20.25" customHeight="1">
      <c r="A205" s="3" t="s">
        <v>642</v>
      </c>
      <c r="B205" s="3">
        <v>356</v>
      </c>
      <c r="C205" s="75">
        <v>930</v>
      </c>
      <c r="D205" s="3">
        <v>1099</v>
      </c>
      <c r="E205" s="21">
        <f t="shared" si="8"/>
        <v>-67.606915377616019</v>
      </c>
      <c r="F205" s="21">
        <f t="shared" si="9"/>
        <v>38.27956989247312</v>
      </c>
    </row>
    <row r="206" spans="1:7" ht="20.25" customHeight="1">
      <c r="A206" s="3" t="s">
        <v>163</v>
      </c>
      <c r="B206" s="3"/>
      <c r="C206" s="75"/>
      <c r="D206" s="3"/>
      <c r="E206" s="21" t="e">
        <f t="shared" si="8"/>
        <v>#DIV/0!</v>
      </c>
      <c r="F206" s="21" t="e">
        <f t="shared" si="9"/>
        <v>#DIV/0!</v>
      </c>
      <c r="G206">
        <v>8</v>
      </c>
    </row>
    <row r="207" spans="1:7" ht="20.25" customHeight="1">
      <c r="A207" s="3" t="s">
        <v>164</v>
      </c>
      <c r="B207" s="3">
        <f>B208</f>
        <v>203</v>
      </c>
      <c r="C207" s="75">
        <f t="shared" ref="C207:D207" si="11">C208</f>
        <v>220</v>
      </c>
      <c r="D207" s="3">
        <f t="shared" si="11"/>
        <v>362</v>
      </c>
      <c r="E207" s="21">
        <f t="shared" si="8"/>
        <v>-43.922651933701658</v>
      </c>
      <c r="F207" s="21">
        <f t="shared" si="9"/>
        <v>92.272727272727266</v>
      </c>
    </row>
    <row r="208" spans="1:7" ht="20.25" customHeight="1">
      <c r="A208" s="3" t="s">
        <v>165</v>
      </c>
      <c r="B208" s="3">
        <v>203</v>
      </c>
      <c r="C208" s="75">
        <v>220</v>
      </c>
      <c r="D208" s="3">
        <v>362</v>
      </c>
      <c r="E208" s="21">
        <f t="shared" si="8"/>
        <v>-43.922651933701658</v>
      </c>
      <c r="F208" s="21">
        <f t="shared" si="9"/>
        <v>92.272727272727266</v>
      </c>
      <c r="G208">
        <v>67</v>
      </c>
    </row>
    <row r="209" spans="1:7" ht="20.25" customHeight="1">
      <c r="A209" s="3" t="s">
        <v>166</v>
      </c>
      <c r="B209" s="3">
        <f>B210+B218+B226+B233+B235+B238+B244+B248+B254+B261+B264+B267+B270+B273+B276+B279+B282+B289</f>
        <v>52520</v>
      </c>
      <c r="C209" s="75">
        <f>C210+C218+C226+C233+C235+C238+C244+C248+C254+C261+C264+C267+C270+C273+C276+C279+C282+C289</f>
        <v>46419</v>
      </c>
      <c r="D209" s="3">
        <f>D210+D218+D226+D233+D235+D238+D244+D248+D254+D261+D264+D267+D270+D273+D276+D279+D282+D289</f>
        <v>56103</v>
      </c>
      <c r="E209" s="21">
        <f t="shared" si="8"/>
        <v>-6.3864677468228077</v>
      </c>
      <c r="F209" s="21">
        <f t="shared" si="9"/>
        <v>113.14332493160128</v>
      </c>
    </row>
    <row r="210" spans="1:7" ht="20.25" customHeight="1">
      <c r="A210" s="3" t="s">
        <v>167</v>
      </c>
      <c r="B210" s="3">
        <f>SUM(B211:B217)</f>
        <v>592</v>
      </c>
      <c r="C210" s="75">
        <f>SUM(C211:C217)</f>
        <v>587</v>
      </c>
      <c r="D210" s="3">
        <f>SUM(D211:D217)</f>
        <v>576</v>
      </c>
      <c r="E210" s="21">
        <f t="shared" si="8"/>
        <v>2.7777777777777777</v>
      </c>
      <c r="F210" s="21">
        <f t="shared" si="9"/>
        <v>100.8517887563884</v>
      </c>
    </row>
    <row r="211" spans="1:7" ht="20.25" customHeight="1">
      <c r="A211" s="3" t="s">
        <v>34</v>
      </c>
      <c r="B211" s="3">
        <v>249</v>
      </c>
      <c r="C211" s="75">
        <v>250</v>
      </c>
      <c r="D211" s="3">
        <v>235</v>
      </c>
      <c r="E211" s="21">
        <f t="shared" si="8"/>
        <v>5.9574468085106389</v>
      </c>
      <c r="F211" s="21">
        <f t="shared" si="9"/>
        <v>99.6</v>
      </c>
    </row>
    <row r="212" spans="1:7" ht="20.25" customHeight="1">
      <c r="A212" s="3" t="s">
        <v>35</v>
      </c>
      <c r="B212" s="3">
        <v>62</v>
      </c>
      <c r="C212" s="75">
        <v>60</v>
      </c>
      <c r="D212" s="3">
        <v>79</v>
      </c>
      <c r="E212" s="21">
        <f t="shared" si="8"/>
        <v>-21.518987341772153</v>
      </c>
      <c r="F212" s="21">
        <f t="shared" si="9"/>
        <v>103.33333333333334</v>
      </c>
    </row>
    <row r="213" spans="1:7" ht="20.25" customHeight="1">
      <c r="A213" s="3" t="s">
        <v>168</v>
      </c>
      <c r="B213" s="3">
        <v>3</v>
      </c>
      <c r="C213" s="75">
        <v>2</v>
      </c>
      <c r="D213" s="3"/>
      <c r="E213" s="21" t="e">
        <f t="shared" si="8"/>
        <v>#DIV/0!</v>
      </c>
      <c r="F213" s="21">
        <f t="shared" si="9"/>
        <v>150</v>
      </c>
    </row>
    <row r="214" spans="1:7" ht="20.25" customHeight="1">
      <c r="A214" s="3" t="s">
        <v>169</v>
      </c>
      <c r="B214" s="3">
        <v>195</v>
      </c>
      <c r="C214" s="75">
        <v>190</v>
      </c>
      <c r="D214" s="3">
        <v>187</v>
      </c>
      <c r="E214" s="21">
        <f t="shared" si="8"/>
        <v>4.2780748663101598</v>
      </c>
      <c r="F214" s="21">
        <f t="shared" si="9"/>
        <v>102.63157894736842</v>
      </c>
    </row>
    <row r="215" spans="1:7" ht="20.25" customHeight="1">
      <c r="A215" s="3" t="s">
        <v>170</v>
      </c>
      <c r="B215" s="3">
        <v>71</v>
      </c>
      <c r="C215" s="75">
        <v>70</v>
      </c>
      <c r="D215" s="3">
        <v>49</v>
      </c>
      <c r="E215" s="21">
        <f t="shared" si="8"/>
        <v>44.897959183673471</v>
      </c>
      <c r="F215" s="21">
        <f t="shared" si="9"/>
        <v>101.42857142857142</v>
      </c>
    </row>
    <row r="216" spans="1:7" ht="20.25" customHeight="1">
      <c r="A216" s="3" t="s">
        <v>171</v>
      </c>
      <c r="B216" s="3"/>
      <c r="C216" s="75"/>
      <c r="D216" s="3"/>
      <c r="E216" s="21" t="e">
        <f t="shared" si="8"/>
        <v>#DIV/0!</v>
      </c>
      <c r="F216" s="21" t="e">
        <f t="shared" si="9"/>
        <v>#DIV/0!</v>
      </c>
    </row>
    <row r="217" spans="1:7" ht="20.25" customHeight="1">
      <c r="A217" s="3" t="s">
        <v>172</v>
      </c>
      <c r="B217" s="3">
        <v>12</v>
      </c>
      <c r="C217" s="75">
        <v>15</v>
      </c>
      <c r="D217" s="3">
        <v>26</v>
      </c>
      <c r="E217" s="21">
        <f t="shared" si="8"/>
        <v>-53.846153846153847</v>
      </c>
      <c r="F217" s="21">
        <f t="shared" si="9"/>
        <v>80</v>
      </c>
    </row>
    <row r="218" spans="1:7" ht="20.25" customHeight="1">
      <c r="A218" s="3" t="s">
        <v>173</v>
      </c>
      <c r="B218" s="3">
        <f>SUM(B219:B225)</f>
        <v>499</v>
      </c>
      <c r="C218" s="75">
        <f>SUM(C219:C225)</f>
        <v>517</v>
      </c>
      <c r="D218" s="3">
        <f>SUM(D219:D225)</f>
        <v>148</v>
      </c>
      <c r="E218" s="21">
        <f t="shared" si="8"/>
        <v>237.16216216216216</v>
      </c>
      <c r="F218" s="21">
        <f t="shared" si="9"/>
        <v>96.518375241779495</v>
      </c>
    </row>
    <row r="219" spans="1:7" ht="20.25" customHeight="1">
      <c r="A219" s="3" t="s">
        <v>34</v>
      </c>
      <c r="B219" s="3"/>
      <c r="C219" s="75"/>
      <c r="D219" s="3"/>
      <c r="E219" s="21" t="e">
        <f t="shared" si="8"/>
        <v>#DIV/0!</v>
      </c>
      <c r="F219" s="21" t="e">
        <f t="shared" si="9"/>
        <v>#DIV/0!</v>
      </c>
    </row>
    <row r="220" spans="1:7" ht="20.25" customHeight="1">
      <c r="A220" s="3" t="s">
        <v>35</v>
      </c>
      <c r="B220" s="3"/>
      <c r="C220" s="75"/>
      <c r="D220" s="3"/>
      <c r="E220" s="21" t="e">
        <f t="shared" si="8"/>
        <v>#DIV/0!</v>
      </c>
      <c r="F220" s="21" t="e">
        <f t="shared" si="9"/>
        <v>#DIV/0!</v>
      </c>
    </row>
    <row r="221" spans="1:7" ht="20.25" customHeight="1">
      <c r="A221" s="3" t="s">
        <v>174</v>
      </c>
      <c r="B221" s="3"/>
      <c r="C221" s="75"/>
      <c r="D221" s="3"/>
      <c r="E221" s="21" t="e">
        <f t="shared" si="8"/>
        <v>#DIV/0!</v>
      </c>
      <c r="F221" s="21" t="e">
        <f t="shared" si="9"/>
        <v>#DIV/0!</v>
      </c>
      <c r="G221">
        <v>1</v>
      </c>
    </row>
    <row r="222" spans="1:7" ht="20.25" customHeight="1">
      <c r="A222" s="3" t="s">
        <v>175</v>
      </c>
      <c r="B222" s="3"/>
      <c r="C222" s="75"/>
      <c r="D222" s="3"/>
      <c r="E222" s="21" t="e">
        <f t="shared" si="8"/>
        <v>#DIV/0!</v>
      </c>
      <c r="F222" s="21" t="e">
        <f t="shared" si="9"/>
        <v>#DIV/0!</v>
      </c>
    </row>
    <row r="223" spans="1:7" ht="20.25" customHeight="1">
      <c r="A223" s="3" t="s">
        <v>176</v>
      </c>
      <c r="B223" s="3"/>
      <c r="C223" s="75"/>
      <c r="D223" s="3">
        <v>10</v>
      </c>
      <c r="E223" s="21">
        <f t="shared" si="8"/>
        <v>-100</v>
      </c>
      <c r="F223" s="21" t="e">
        <f t="shared" si="9"/>
        <v>#DIV/0!</v>
      </c>
      <c r="G223">
        <v>10</v>
      </c>
    </row>
    <row r="224" spans="1:7" ht="20.25" customHeight="1">
      <c r="A224" s="3" t="s">
        <v>660</v>
      </c>
      <c r="B224" s="3">
        <v>106</v>
      </c>
      <c r="C224" s="75">
        <f>44+62</f>
        <v>106</v>
      </c>
      <c r="D224" s="3">
        <v>44</v>
      </c>
      <c r="E224" s="21">
        <f t="shared" si="8"/>
        <v>140.90909090909091</v>
      </c>
      <c r="F224" s="21">
        <f t="shared" si="9"/>
        <v>100</v>
      </c>
      <c r="G224">
        <v>44</v>
      </c>
    </row>
    <row r="225" spans="1:7" ht="20.25" customHeight="1">
      <c r="A225" s="3" t="s">
        <v>177</v>
      </c>
      <c r="B225" s="3">
        <f>423-30</f>
        <v>393</v>
      </c>
      <c r="C225" s="75">
        <f>284+156-29</f>
        <v>411</v>
      </c>
      <c r="D225" s="3">
        <v>94</v>
      </c>
      <c r="E225" s="21">
        <f t="shared" si="8"/>
        <v>318.08510638297872</v>
      </c>
      <c r="F225" s="21">
        <f t="shared" si="9"/>
        <v>95.620437956204384</v>
      </c>
      <c r="G225">
        <v>26</v>
      </c>
    </row>
    <row r="226" spans="1:7" ht="20.25" customHeight="1">
      <c r="A226" s="3" t="s">
        <v>178</v>
      </c>
      <c r="B226" s="3">
        <f>SUM(B227:B232)</f>
        <v>32476</v>
      </c>
      <c r="C226" s="75">
        <f>SUM(C227:C232)</f>
        <v>25185</v>
      </c>
      <c r="D226" s="3">
        <f>SUM(D227:D232)</f>
        <v>35377</v>
      </c>
      <c r="E226" s="21">
        <f t="shared" si="8"/>
        <v>-8.2002430957967043</v>
      </c>
      <c r="F226" s="21">
        <f t="shared" si="9"/>
        <v>128.94977168949774</v>
      </c>
    </row>
    <row r="227" spans="1:7" ht="20.25" customHeight="1">
      <c r="A227" s="3" t="s">
        <v>179</v>
      </c>
      <c r="B227" s="3">
        <f>831-146</f>
        <v>685</v>
      </c>
      <c r="C227" s="75">
        <f>850-92</f>
        <v>758</v>
      </c>
      <c r="D227" s="3">
        <v>775</v>
      </c>
      <c r="E227" s="21">
        <f t="shared" si="8"/>
        <v>-11.612903225806452</v>
      </c>
      <c r="F227" s="21">
        <f t="shared" si="9"/>
        <v>90.369393139841691</v>
      </c>
    </row>
    <row r="228" spans="1:7" ht="20.25" customHeight="1">
      <c r="A228" s="3" t="s">
        <v>180</v>
      </c>
      <c r="B228" s="3">
        <v>1925</v>
      </c>
      <c r="C228" s="75">
        <v>1930</v>
      </c>
      <c r="D228" s="3">
        <v>1309</v>
      </c>
      <c r="E228" s="21">
        <f t="shared" si="8"/>
        <v>47.058823529411761</v>
      </c>
      <c r="F228" s="21">
        <f t="shared" si="9"/>
        <v>99.740932642487053</v>
      </c>
    </row>
    <row r="229" spans="1:7" ht="20.25" customHeight="1">
      <c r="A229" s="3" t="s">
        <v>181</v>
      </c>
      <c r="B229" s="3">
        <f>6296-357</f>
        <v>5939</v>
      </c>
      <c r="C229" s="75">
        <f>6300-357</f>
        <v>5943</v>
      </c>
      <c r="D229" s="3">
        <v>5251</v>
      </c>
      <c r="E229" s="21">
        <f t="shared" si="8"/>
        <v>13.102266235002858</v>
      </c>
      <c r="F229" s="21">
        <f t="shared" si="9"/>
        <v>99.932693925626793</v>
      </c>
    </row>
    <row r="230" spans="1:7" ht="20.25" customHeight="1">
      <c r="A230" s="3" t="s">
        <v>182</v>
      </c>
      <c r="B230" s="3">
        <f>320-4</f>
        <v>316</v>
      </c>
      <c r="C230" s="75">
        <f>330-4</f>
        <v>326</v>
      </c>
      <c r="D230" s="3">
        <v>831</v>
      </c>
      <c r="E230" s="21">
        <f t="shared" si="8"/>
        <v>-61.973525872442835</v>
      </c>
      <c r="F230" s="21">
        <f t="shared" si="9"/>
        <v>96.932515337423311</v>
      </c>
    </row>
    <row r="231" spans="1:7" ht="20.25" customHeight="1">
      <c r="A231" s="3" t="s">
        <v>183</v>
      </c>
      <c r="B231" s="3">
        <v>23611</v>
      </c>
      <c r="C231" s="75">
        <f>2611+13617</f>
        <v>16228</v>
      </c>
      <c r="D231" s="3">
        <v>27206</v>
      </c>
      <c r="E231" s="21">
        <f t="shared" si="8"/>
        <v>-13.213996912445783</v>
      </c>
      <c r="F231" s="21">
        <f t="shared" si="9"/>
        <v>145.49543998028099</v>
      </c>
      <c r="G231">
        <v>848</v>
      </c>
    </row>
    <row r="232" spans="1:7" ht="20.25" customHeight="1">
      <c r="A232" s="3" t="s">
        <v>184</v>
      </c>
      <c r="B232" s="3"/>
      <c r="C232" s="75"/>
      <c r="D232" s="3">
        <v>5</v>
      </c>
      <c r="E232" s="21">
        <f t="shared" si="8"/>
        <v>-100</v>
      </c>
      <c r="F232" s="21" t="e">
        <f t="shared" si="9"/>
        <v>#DIV/0!</v>
      </c>
    </row>
    <row r="233" spans="1:7" ht="20.25" customHeight="1">
      <c r="A233" s="3" t="s">
        <v>185</v>
      </c>
      <c r="B233" s="3">
        <f>B234</f>
        <v>447</v>
      </c>
      <c r="C233" s="75">
        <f>C234</f>
        <v>447</v>
      </c>
      <c r="D233" s="3">
        <f>D234</f>
        <v>447</v>
      </c>
      <c r="E233" s="21">
        <f t="shared" si="8"/>
        <v>0</v>
      </c>
      <c r="F233" s="21">
        <f t="shared" si="9"/>
        <v>100</v>
      </c>
    </row>
    <row r="234" spans="1:7" ht="20.25" customHeight="1">
      <c r="A234" s="3" t="s">
        <v>186</v>
      </c>
      <c r="B234" s="3">
        <v>447</v>
      </c>
      <c r="C234" s="75">
        <v>447</v>
      </c>
      <c r="D234" s="3">
        <v>447</v>
      </c>
      <c r="E234" s="21">
        <f t="shared" si="8"/>
        <v>0</v>
      </c>
      <c r="F234" s="21">
        <f t="shared" si="9"/>
        <v>100</v>
      </c>
    </row>
    <row r="235" spans="1:7" ht="20.25" customHeight="1">
      <c r="A235" s="3" t="s">
        <v>187</v>
      </c>
      <c r="B235" s="3">
        <f>SUM(B236:B237)</f>
        <v>351</v>
      </c>
      <c r="C235" s="75">
        <f>SUM(C236:C237)</f>
        <v>351</v>
      </c>
      <c r="D235" s="3">
        <f>SUM(D236:D237)</f>
        <v>560</v>
      </c>
      <c r="E235" s="21">
        <f t="shared" si="8"/>
        <v>-37.321428571428569</v>
      </c>
      <c r="F235" s="21">
        <f t="shared" si="9"/>
        <v>100</v>
      </c>
    </row>
    <row r="236" spans="1:7" ht="20.25" customHeight="1">
      <c r="A236" s="3" t="s">
        <v>188</v>
      </c>
      <c r="B236" s="3">
        <v>351</v>
      </c>
      <c r="C236" s="75">
        <f>30+321</f>
        <v>351</v>
      </c>
      <c r="D236" s="3">
        <v>560</v>
      </c>
      <c r="E236" s="21">
        <f t="shared" si="8"/>
        <v>-37.321428571428569</v>
      </c>
      <c r="F236" s="21">
        <f t="shared" si="9"/>
        <v>100</v>
      </c>
    </row>
    <row r="237" spans="1:7" ht="20.25" customHeight="1">
      <c r="A237" s="3" t="s">
        <v>189</v>
      </c>
      <c r="B237" s="3"/>
      <c r="C237" s="75"/>
      <c r="D237" s="3"/>
      <c r="E237" s="21" t="e">
        <f t="shared" si="8"/>
        <v>#DIV/0!</v>
      </c>
      <c r="F237" s="21" t="e">
        <f t="shared" si="9"/>
        <v>#DIV/0!</v>
      </c>
    </row>
    <row r="238" spans="1:7" ht="20.25" customHeight="1">
      <c r="A238" s="3" t="s">
        <v>190</v>
      </c>
      <c r="B238" s="3">
        <f>SUM(B239:B243)</f>
        <v>1855</v>
      </c>
      <c r="C238" s="75">
        <f>SUM(C239:C243)</f>
        <v>2133</v>
      </c>
      <c r="D238" s="3">
        <f>SUM(D239:D243)</f>
        <v>2070</v>
      </c>
      <c r="E238" s="21">
        <f t="shared" si="8"/>
        <v>-10.386473429951691</v>
      </c>
      <c r="F238" s="21">
        <f t="shared" si="9"/>
        <v>86.966713548992018</v>
      </c>
    </row>
    <row r="239" spans="1:7" ht="20.25" customHeight="1">
      <c r="A239" s="3" t="s">
        <v>191</v>
      </c>
      <c r="B239" s="3"/>
      <c r="C239" s="75"/>
      <c r="D239" s="3"/>
      <c r="E239" s="21" t="e">
        <f t="shared" si="8"/>
        <v>#DIV/0!</v>
      </c>
      <c r="F239" s="21" t="e">
        <f t="shared" si="9"/>
        <v>#DIV/0!</v>
      </c>
    </row>
    <row r="240" spans="1:7" ht="20.25" customHeight="1">
      <c r="A240" s="3" t="s">
        <v>192</v>
      </c>
      <c r="B240" s="3">
        <v>240</v>
      </c>
      <c r="C240" s="75">
        <v>240</v>
      </c>
      <c r="D240" s="3">
        <v>327</v>
      </c>
      <c r="E240" s="21">
        <f t="shared" si="8"/>
        <v>-26.605504587155966</v>
      </c>
      <c r="F240" s="21">
        <f t="shared" si="9"/>
        <v>100</v>
      </c>
    </row>
    <row r="241" spans="1:7" ht="20.25" customHeight="1">
      <c r="A241" s="3" t="s">
        <v>193</v>
      </c>
      <c r="B241" s="3">
        <v>333</v>
      </c>
      <c r="C241" s="75">
        <f>205+100+293</f>
        <v>598</v>
      </c>
      <c r="D241" s="3">
        <v>321</v>
      </c>
      <c r="E241" s="21">
        <f t="shared" si="8"/>
        <v>3.7383177570093453</v>
      </c>
      <c r="F241" s="21">
        <f t="shared" si="9"/>
        <v>55.685618729096987</v>
      </c>
      <c r="G241">
        <v>189</v>
      </c>
    </row>
    <row r="242" spans="1:7" ht="20.25" customHeight="1">
      <c r="A242" s="3" t="s">
        <v>194</v>
      </c>
      <c r="B242" s="3"/>
      <c r="C242" s="75"/>
      <c r="D242" s="3"/>
      <c r="E242" s="21" t="e">
        <f t="shared" si="8"/>
        <v>#DIV/0!</v>
      </c>
      <c r="F242" s="21" t="e">
        <f t="shared" si="9"/>
        <v>#DIV/0!</v>
      </c>
    </row>
    <row r="243" spans="1:7" ht="20.25" customHeight="1">
      <c r="A243" s="3" t="s">
        <v>195</v>
      </c>
      <c r="B243" s="3">
        <v>1282</v>
      </c>
      <c r="C243" s="75">
        <f>1195+100</f>
        <v>1295</v>
      </c>
      <c r="D243" s="3">
        <v>1422</v>
      </c>
      <c r="E243" s="21">
        <f t="shared" si="8"/>
        <v>-9.8452883263009845</v>
      </c>
      <c r="F243" s="21">
        <f t="shared" si="9"/>
        <v>98.996138996138995</v>
      </c>
      <c r="G243">
        <v>885</v>
      </c>
    </row>
    <row r="244" spans="1:7" ht="20.25" customHeight="1">
      <c r="A244" s="3" t="s">
        <v>196</v>
      </c>
      <c r="B244" s="3">
        <f>SUM(B245:B247)</f>
        <v>359</v>
      </c>
      <c r="C244" s="75">
        <f>SUM(C245:C247)</f>
        <v>560</v>
      </c>
      <c r="D244" s="3">
        <f>SUM(D245:D247)</f>
        <v>1823</v>
      </c>
      <c r="E244" s="21">
        <f t="shared" si="8"/>
        <v>-80.307185957213392</v>
      </c>
      <c r="F244" s="21">
        <f t="shared" si="9"/>
        <v>64.107142857142861</v>
      </c>
    </row>
    <row r="245" spans="1:7" ht="20.25" customHeight="1">
      <c r="A245" s="3" t="s">
        <v>197</v>
      </c>
      <c r="B245" s="3">
        <v>359</v>
      </c>
      <c r="C245" s="75">
        <f>562-3</f>
        <v>559</v>
      </c>
      <c r="D245" s="3">
        <v>273</v>
      </c>
      <c r="E245" s="21">
        <f t="shared" si="8"/>
        <v>31.5018315018315</v>
      </c>
      <c r="F245" s="21">
        <f t="shared" si="9"/>
        <v>64.221824686940963</v>
      </c>
    </row>
    <row r="246" spans="1:7" ht="20.25" customHeight="1">
      <c r="A246" s="3" t="s">
        <v>198</v>
      </c>
      <c r="B246" s="3"/>
      <c r="C246" s="75">
        <v>1</v>
      </c>
      <c r="D246" s="3">
        <v>1</v>
      </c>
      <c r="E246" s="21">
        <f t="shared" si="8"/>
        <v>-100</v>
      </c>
      <c r="F246" s="21">
        <f t="shared" si="9"/>
        <v>0</v>
      </c>
      <c r="G246">
        <v>2</v>
      </c>
    </row>
    <row r="247" spans="1:7" ht="20.25" customHeight="1">
      <c r="A247" s="3" t="s">
        <v>199</v>
      </c>
      <c r="B247" s="3"/>
      <c r="C247" s="75"/>
      <c r="D247" s="3">
        <v>1549</v>
      </c>
      <c r="E247" s="21">
        <f t="shared" si="8"/>
        <v>-100</v>
      </c>
      <c r="F247" s="21" t="e">
        <f t="shared" si="9"/>
        <v>#DIV/0!</v>
      </c>
    </row>
    <row r="248" spans="1:7" ht="20.25" customHeight="1">
      <c r="A248" s="3" t="s">
        <v>200</v>
      </c>
      <c r="B248" s="3">
        <f>SUM(B249:B253)</f>
        <v>491</v>
      </c>
      <c r="C248" s="75">
        <f>SUM(C249:C253)</f>
        <v>726</v>
      </c>
      <c r="D248" s="3">
        <f>SUM(D249:D253)</f>
        <v>1122</v>
      </c>
      <c r="E248" s="21">
        <f t="shared" si="8"/>
        <v>-56.238859180035647</v>
      </c>
      <c r="F248" s="21">
        <f t="shared" si="9"/>
        <v>67.630853994490366</v>
      </c>
    </row>
    <row r="249" spans="1:7" ht="20.25" customHeight="1">
      <c r="A249" s="3" t="s">
        <v>201</v>
      </c>
      <c r="B249" s="3">
        <v>134</v>
      </c>
      <c r="C249" s="75">
        <f>100+43</f>
        <v>143</v>
      </c>
      <c r="D249" s="3">
        <v>61</v>
      </c>
      <c r="E249" s="21">
        <f t="shared" si="8"/>
        <v>119.67213114754098</v>
      </c>
      <c r="F249" s="21">
        <f t="shared" si="9"/>
        <v>93.706293706293707</v>
      </c>
    </row>
    <row r="250" spans="1:7" ht="20.25" customHeight="1">
      <c r="A250" s="3" t="s">
        <v>202</v>
      </c>
      <c r="B250" s="3">
        <v>46</v>
      </c>
      <c r="C250" s="75"/>
      <c r="D250" s="3">
        <v>46</v>
      </c>
      <c r="E250" s="21">
        <f t="shared" si="8"/>
        <v>0</v>
      </c>
      <c r="F250" s="21" t="e">
        <f t="shared" si="9"/>
        <v>#DIV/0!</v>
      </c>
    </row>
    <row r="251" spans="1:7" ht="20.25" customHeight="1">
      <c r="A251" s="3" t="s">
        <v>203</v>
      </c>
      <c r="B251" s="3">
        <v>5</v>
      </c>
      <c r="C251" s="75"/>
      <c r="D251" s="3">
        <v>752</v>
      </c>
      <c r="E251" s="21">
        <f t="shared" si="8"/>
        <v>-99.335106382978722</v>
      </c>
      <c r="F251" s="21" t="e">
        <f t="shared" si="9"/>
        <v>#DIV/0!</v>
      </c>
    </row>
    <row r="252" spans="1:7" ht="20.25" customHeight="1">
      <c r="A252" s="3" t="s">
        <v>204</v>
      </c>
      <c r="B252" s="3">
        <v>275</v>
      </c>
      <c r="C252" s="75">
        <f>283+269</f>
        <v>552</v>
      </c>
      <c r="D252" s="3">
        <v>242</v>
      </c>
      <c r="E252" s="21">
        <f t="shared" si="8"/>
        <v>13.636363636363635</v>
      </c>
      <c r="F252" s="21">
        <f t="shared" si="9"/>
        <v>49.818840579710141</v>
      </c>
    </row>
    <row r="253" spans="1:7" ht="20.25" customHeight="1">
      <c r="A253" s="3" t="s">
        <v>205</v>
      </c>
      <c r="B253" s="3">
        <v>31</v>
      </c>
      <c r="C253" s="75">
        <v>31</v>
      </c>
      <c r="D253" s="3">
        <v>21</v>
      </c>
      <c r="E253" s="21">
        <f t="shared" si="8"/>
        <v>47.619047619047613</v>
      </c>
      <c r="F253" s="21">
        <f t="shared" si="9"/>
        <v>100</v>
      </c>
    </row>
    <row r="254" spans="1:7" ht="20.25" customHeight="1">
      <c r="A254" s="3" t="s">
        <v>206</v>
      </c>
      <c r="B254" s="3">
        <f>SUM(B255:B260)</f>
        <v>584</v>
      </c>
      <c r="C254" s="75">
        <f>SUM(C255:C260)</f>
        <v>585</v>
      </c>
      <c r="D254" s="3">
        <f>SUM(D255:D260)</f>
        <v>433</v>
      </c>
      <c r="E254" s="21">
        <f t="shared" si="8"/>
        <v>34.872979214780599</v>
      </c>
      <c r="F254" s="21">
        <f t="shared" si="9"/>
        <v>99.82905982905983</v>
      </c>
    </row>
    <row r="255" spans="1:7" ht="20.25" customHeight="1">
      <c r="A255" s="3" t="s">
        <v>34</v>
      </c>
      <c r="B255" s="3">
        <v>91</v>
      </c>
      <c r="C255" s="75">
        <v>91</v>
      </c>
      <c r="D255" s="3">
        <v>67</v>
      </c>
      <c r="E255" s="21">
        <f t="shared" si="8"/>
        <v>35.820895522388057</v>
      </c>
      <c r="F255" s="21">
        <f t="shared" si="9"/>
        <v>100</v>
      </c>
    </row>
    <row r="256" spans="1:7" ht="20.25" customHeight="1">
      <c r="A256" s="3" t="s">
        <v>35</v>
      </c>
      <c r="B256" s="3"/>
      <c r="C256" s="75"/>
      <c r="D256" s="3"/>
      <c r="E256" s="21" t="e">
        <f t="shared" si="8"/>
        <v>#DIV/0!</v>
      </c>
      <c r="F256" s="21" t="e">
        <f t="shared" si="9"/>
        <v>#DIV/0!</v>
      </c>
    </row>
    <row r="257" spans="1:7" ht="20.25" customHeight="1">
      <c r="A257" s="3" t="s">
        <v>207</v>
      </c>
      <c r="B257" s="3">
        <v>73</v>
      </c>
      <c r="C257" s="75">
        <v>73</v>
      </c>
      <c r="D257" s="3">
        <v>22</v>
      </c>
      <c r="E257" s="21">
        <f t="shared" si="8"/>
        <v>231.81818181818184</v>
      </c>
      <c r="F257" s="21">
        <f t="shared" si="9"/>
        <v>100</v>
      </c>
      <c r="G257">
        <v>10</v>
      </c>
    </row>
    <row r="258" spans="1:7" ht="20.25" customHeight="1">
      <c r="A258" s="3" t="s">
        <v>208</v>
      </c>
      <c r="B258" s="3">
        <v>158</v>
      </c>
      <c r="C258" s="75">
        <v>158</v>
      </c>
      <c r="D258" s="3">
        <v>138</v>
      </c>
      <c r="E258" s="21">
        <f t="shared" si="8"/>
        <v>14.492753623188406</v>
      </c>
      <c r="F258" s="21">
        <f t="shared" si="9"/>
        <v>100</v>
      </c>
      <c r="G258">
        <v>5</v>
      </c>
    </row>
    <row r="259" spans="1:7" ht="20.25" customHeight="1">
      <c r="A259" s="3" t="s">
        <v>209</v>
      </c>
      <c r="B259" s="3">
        <v>215</v>
      </c>
      <c r="C259" s="75">
        <f>186+30</f>
        <v>216</v>
      </c>
      <c r="D259" s="3">
        <v>159</v>
      </c>
      <c r="E259" s="21">
        <f t="shared" si="8"/>
        <v>35.220125786163521</v>
      </c>
      <c r="F259" s="21">
        <f t="shared" si="9"/>
        <v>99.537037037037038</v>
      </c>
      <c r="G259">
        <v>28</v>
      </c>
    </row>
    <row r="260" spans="1:7" ht="20.25" customHeight="1">
      <c r="A260" s="3" t="s">
        <v>604</v>
      </c>
      <c r="B260" s="3">
        <v>47</v>
      </c>
      <c r="C260" s="75">
        <v>47</v>
      </c>
      <c r="D260" s="3">
        <v>47</v>
      </c>
      <c r="E260" s="21">
        <f t="shared" si="8"/>
        <v>0</v>
      </c>
      <c r="F260" s="21">
        <f t="shared" si="9"/>
        <v>100</v>
      </c>
      <c r="G260">
        <v>205</v>
      </c>
    </row>
    <row r="261" spans="1:7" ht="20.25" customHeight="1">
      <c r="A261" s="3" t="s">
        <v>605</v>
      </c>
      <c r="B261" s="3">
        <f>SUM(B262:B263)</f>
        <v>0</v>
      </c>
      <c r="C261" s="75">
        <f>SUM(C262:C263)</f>
        <v>0</v>
      </c>
      <c r="D261" s="3">
        <f>SUM(D262:D263)</f>
        <v>0</v>
      </c>
      <c r="E261" s="21" t="e">
        <f t="shared" si="8"/>
        <v>#DIV/0!</v>
      </c>
      <c r="F261" s="21" t="e">
        <f t="shared" si="9"/>
        <v>#DIV/0!</v>
      </c>
    </row>
    <row r="262" spans="1:7" ht="20.25" customHeight="1">
      <c r="A262" s="3" t="s">
        <v>210</v>
      </c>
      <c r="B262" s="3"/>
      <c r="C262" s="75"/>
      <c r="D262" s="3"/>
      <c r="E262" s="21" t="e">
        <f t="shared" ref="E262:E325" si="12">(B262-D262)/D262*100</f>
        <v>#DIV/0!</v>
      </c>
      <c r="F262" s="21" t="e">
        <f t="shared" ref="F262:F325" si="13">B262/C262*100</f>
        <v>#DIV/0!</v>
      </c>
    </row>
    <row r="263" spans="1:7" ht="20.25" customHeight="1">
      <c r="A263" s="3" t="s">
        <v>606</v>
      </c>
      <c r="B263" s="3"/>
      <c r="C263" s="75"/>
      <c r="D263" s="3"/>
      <c r="E263" s="21" t="e">
        <f t="shared" si="12"/>
        <v>#DIV/0!</v>
      </c>
      <c r="F263" s="21" t="e">
        <f t="shared" si="13"/>
        <v>#DIV/0!</v>
      </c>
    </row>
    <row r="264" spans="1:7" ht="20.25" customHeight="1">
      <c r="A264" s="3" t="s">
        <v>211</v>
      </c>
      <c r="B264" s="3">
        <f>SUM(B265:B266)</f>
        <v>28</v>
      </c>
      <c r="C264" s="75">
        <f>SUM(C265:C266)</f>
        <v>28</v>
      </c>
      <c r="D264" s="3">
        <f>SUM(D265:D266)</f>
        <v>26</v>
      </c>
      <c r="E264" s="21">
        <f t="shared" si="12"/>
        <v>7.6923076923076925</v>
      </c>
      <c r="F264" s="21">
        <f t="shared" si="13"/>
        <v>100</v>
      </c>
    </row>
    <row r="265" spans="1:7" ht="20.25" customHeight="1">
      <c r="A265" s="3" t="s">
        <v>34</v>
      </c>
      <c r="B265" s="3">
        <v>24</v>
      </c>
      <c r="C265" s="75">
        <v>24</v>
      </c>
      <c r="D265" s="3">
        <v>23</v>
      </c>
      <c r="E265" s="21">
        <f t="shared" si="12"/>
        <v>4.3478260869565215</v>
      </c>
      <c r="F265" s="21">
        <f t="shared" si="13"/>
        <v>100</v>
      </c>
    </row>
    <row r="266" spans="1:7" ht="20.25" customHeight="1">
      <c r="A266" s="3" t="s">
        <v>35</v>
      </c>
      <c r="B266" s="3">
        <v>4</v>
      </c>
      <c r="C266" s="75">
        <v>4</v>
      </c>
      <c r="D266" s="3">
        <v>3</v>
      </c>
      <c r="E266" s="21">
        <f t="shared" si="12"/>
        <v>33.333333333333329</v>
      </c>
      <c r="F266" s="21">
        <f t="shared" si="13"/>
        <v>100</v>
      </c>
    </row>
    <row r="267" spans="1:7" ht="20.25" customHeight="1">
      <c r="A267" s="3" t="s">
        <v>212</v>
      </c>
      <c r="B267" s="3">
        <f>SUM(B268:B269)</f>
        <v>4603</v>
      </c>
      <c r="C267" s="75">
        <f>SUM(C268:C269)</f>
        <v>5002</v>
      </c>
      <c r="D267" s="3">
        <f>SUM(D268:D269)</f>
        <v>4383</v>
      </c>
      <c r="E267" s="21">
        <f t="shared" si="12"/>
        <v>5.019393109742186</v>
      </c>
      <c r="F267" s="21">
        <f t="shared" si="13"/>
        <v>92.023190723710513</v>
      </c>
    </row>
    <row r="268" spans="1:7" ht="20.25" customHeight="1">
      <c r="A268" s="3" t="s">
        <v>213</v>
      </c>
      <c r="B268" s="3">
        <v>1135</v>
      </c>
      <c r="C268" s="75">
        <f>1000+467</f>
        <v>1467</v>
      </c>
      <c r="D268" s="3">
        <v>1379</v>
      </c>
      <c r="E268" s="21">
        <f t="shared" si="12"/>
        <v>-17.693981145757796</v>
      </c>
      <c r="F268" s="21">
        <f t="shared" si="13"/>
        <v>77.36877982276755</v>
      </c>
      <c r="G268">
        <v>393</v>
      </c>
    </row>
    <row r="269" spans="1:7" ht="20.25" customHeight="1">
      <c r="A269" s="3" t="s">
        <v>214</v>
      </c>
      <c r="B269" s="3">
        <v>3468</v>
      </c>
      <c r="C269" s="75">
        <f>1726+309+1500</f>
        <v>3535</v>
      </c>
      <c r="D269" s="3">
        <v>3004</v>
      </c>
      <c r="E269" s="21">
        <f t="shared" si="12"/>
        <v>15.446071904127828</v>
      </c>
      <c r="F269" s="21">
        <f t="shared" si="13"/>
        <v>98.104667609618105</v>
      </c>
      <c r="G269">
        <v>1659</v>
      </c>
    </row>
    <row r="270" spans="1:7" ht="20.25" customHeight="1">
      <c r="A270" s="3" t="s">
        <v>215</v>
      </c>
      <c r="B270" s="3">
        <f>SUM(B271:B272)</f>
        <v>473</v>
      </c>
      <c r="C270" s="75">
        <f>SUM(C271:C272)</f>
        <v>706</v>
      </c>
      <c r="D270" s="3">
        <f>SUM(D271:D272)</f>
        <v>309</v>
      </c>
      <c r="E270" s="21">
        <f t="shared" si="12"/>
        <v>53.074433656957929</v>
      </c>
      <c r="F270" s="21">
        <f t="shared" si="13"/>
        <v>66.997167138810198</v>
      </c>
    </row>
    <row r="271" spans="1:7" ht="20.25" customHeight="1">
      <c r="A271" s="3" t="s">
        <v>216</v>
      </c>
      <c r="B271" s="3">
        <v>453</v>
      </c>
      <c r="C271" s="75">
        <f>131+555</f>
        <v>686</v>
      </c>
      <c r="D271" s="3">
        <v>263</v>
      </c>
      <c r="E271" s="21">
        <f t="shared" si="12"/>
        <v>72.243346007604558</v>
      </c>
      <c r="F271" s="21">
        <f t="shared" si="13"/>
        <v>66.034985422740519</v>
      </c>
      <c r="G271">
        <v>164</v>
      </c>
    </row>
    <row r="272" spans="1:7" ht="20.25" customHeight="1">
      <c r="A272" s="3" t="s">
        <v>607</v>
      </c>
      <c r="B272" s="3">
        <v>20</v>
      </c>
      <c r="C272" s="75">
        <v>20</v>
      </c>
      <c r="D272" s="3">
        <v>46</v>
      </c>
      <c r="E272" s="21">
        <f t="shared" si="12"/>
        <v>-56.521739130434781</v>
      </c>
      <c r="F272" s="21">
        <f t="shared" si="13"/>
        <v>100</v>
      </c>
    </row>
    <row r="273" spans="1:7" ht="20.25" customHeight="1">
      <c r="A273" s="3" t="s">
        <v>217</v>
      </c>
      <c r="B273" s="3">
        <f>SUM(B274:B275)</f>
        <v>1942</v>
      </c>
      <c r="C273" s="75">
        <f>SUM(C274:C275)</f>
        <v>1715</v>
      </c>
      <c r="D273" s="3">
        <f>SUM(D274:D275)</f>
        <v>1974</v>
      </c>
      <c r="E273" s="21">
        <f t="shared" si="12"/>
        <v>-1.6210739614994936</v>
      </c>
      <c r="F273" s="21">
        <f t="shared" si="13"/>
        <v>113.23615160349854</v>
      </c>
    </row>
    <row r="274" spans="1:7" ht="20.25" customHeight="1">
      <c r="A274" s="3" t="s">
        <v>218</v>
      </c>
      <c r="B274" s="3"/>
      <c r="C274" s="75"/>
      <c r="D274" s="3"/>
      <c r="E274" s="21" t="e">
        <f t="shared" si="12"/>
        <v>#DIV/0!</v>
      </c>
      <c r="F274" s="21" t="e">
        <f t="shared" si="13"/>
        <v>#DIV/0!</v>
      </c>
    </row>
    <row r="275" spans="1:7" ht="20.25" customHeight="1">
      <c r="A275" s="3" t="s">
        <v>219</v>
      </c>
      <c r="B275" s="3">
        <v>1942</v>
      </c>
      <c r="C275" s="75">
        <f>979+736</f>
        <v>1715</v>
      </c>
      <c r="D275" s="3">
        <v>1974</v>
      </c>
      <c r="E275" s="21">
        <f t="shared" si="12"/>
        <v>-1.6210739614994936</v>
      </c>
      <c r="F275" s="21">
        <f t="shared" si="13"/>
        <v>113.23615160349854</v>
      </c>
    </row>
    <row r="276" spans="1:7" ht="20.25" customHeight="1">
      <c r="A276" s="3" t="s">
        <v>220</v>
      </c>
      <c r="B276" s="3">
        <f>SUM(B277:B278)</f>
        <v>215</v>
      </c>
      <c r="C276" s="75">
        <f>SUM(C277:C278)</f>
        <v>91</v>
      </c>
      <c r="D276" s="3">
        <f>SUM(D277:D278)</f>
        <v>272</v>
      </c>
      <c r="E276" s="21">
        <f t="shared" si="12"/>
        <v>-20.955882352941178</v>
      </c>
      <c r="F276" s="21">
        <f t="shared" si="13"/>
        <v>236.26373626373626</v>
      </c>
    </row>
    <row r="277" spans="1:7" ht="20.25" customHeight="1">
      <c r="A277" s="3" t="s">
        <v>221</v>
      </c>
      <c r="B277" s="3">
        <v>18</v>
      </c>
      <c r="C277" s="75">
        <v>16</v>
      </c>
      <c r="D277" s="3">
        <v>18</v>
      </c>
      <c r="E277" s="21">
        <f t="shared" si="12"/>
        <v>0</v>
      </c>
      <c r="F277" s="21">
        <f t="shared" si="13"/>
        <v>112.5</v>
      </c>
      <c r="G277">
        <v>25</v>
      </c>
    </row>
    <row r="278" spans="1:7" ht="20.25" customHeight="1">
      <c r="A278" s="3" t="s">
        <v>222</v>
      </c>
      <c r="B278" s="3">
        <f>650-453</f>
        <v>197</v>
      </c>
      <c r="C278" s="75">
        <f>243-168</f>
        <v>75</v>
      </c>
      <c r="D278" s="3">
        <v>254</v>
      </c>
      <c r="E278" s="21">
        <f t="shared" si="12"/>
        <v>-22.440944881889763</v>
      </c>
      <c r="F278" s="21">
        <f t="shared" si="13"/>
        <v>262.66666666666663</v>
      </c>
    </row>
    <row r="279" spans="1:7" ht="20.25" customHeight="1">
      <c r="A279" s="3" t="s">
        <v>223</v>
      </c>
      <c r="B279" s="3">
        <f>B281</f>
        <v>7131</v>
      </c>
      <c r="C279" s="75">
        <f>SUM(C280:C281)</f>
        <v>7296</v>
      </c>
      <c r="D279" s="3">
        <f>SUM(D280:D281)</f>
        <v>6283</v>
      </c>
      <c r="E279" s="21">
        <f t="shared" si="12"/>
        <v>13.496737227439121</v>
      </c>
      <c r="F279" s="21">
        <f t="shared" si="13"/>
        <v>97.73848684210526</v>
      </c>
    </row>
    <row r="280" spans="1:7" ht="20.25" customHeight="1">
      <c r="A280" s="3" t="s">
        <v>224</v>
      </c>
      <c r="B280" s="3"/>
      <c r="C280" s="75"/>
      <c r="D280" s="3"/>
      <c r="E280" s="21" t="e">
        <f t="shared" si="12"/>
        <v>#DIV/0!</v>
      </c>
      <c r="F280" s="21" t="e">
        <f t="shared" si="13"/>
        <v>#DIV/0!</v>
      </c>
    </row>
    <row r="281" spans="1:7" ht="20.25" customHeight="1">
      <c r="A281" s="3" t="s">
        <v>225</v>
      </c>
      <c r="B281" s="3">
        <v>7131</v>
      </c>
      <c r="C281" s="75">
        <f>6296+1000</f>
        <v>7296</v>
      </c>
      <c r="D281" s="3">
        <v>6283</v>
      </c>
      <c r="E281" s="21">
        <f t="shared" si="12"/>
        <v>13.496737227439121</v>
      </c>
      <c r="F281" s="21">
        <f t="shared" si="13"/>
        <v>97.73848684210526</v>
      </c>
      <c r="G281">
        <v>3499</v>
      </c>
    </row>
    <row r="282" spans="1:7" ht="20.25" customHeight="1">
      <c r="A282" s="3" t="s">
        <v>226</v>
      </c>
      <c r="B282" s="3">
        <f>SUM(B283:B288)</f>
        <v>474</v>
      </c>
      <c r="C282" s="75">
        <f>SUM(C283:C288)</f>
        <v>490</v>
      </c>
      <c r="D282" s="3">
        <f>SUM(D283:D288)</f>
        <v>300</v>
      </c>
      <c r="E282" s="21">
        <f t="shared" si="12"/>
        <v>57.999999999999993</v>
      </c>
      <c r="F282" s="21">
        <f t="shared" si="13"/>
        <v>96.734693877551024</v>
      </c>
    </row>
    <row r="283" spans="1:7" ht="20.25" customHeight="1">
      <c r="A283" s="3" t="s">
        <v>34</v>
      </c>
      <c r="B283" s="3">
        <v>48</v>
      </c>
      <c r="C283" s="75">
        <v>50</v>
      </c>
      <c r="D283" s="3">
        <v>42</v>
      </c>
      <c r="E283" s="21">
        <f t="shared" si="12"/>
        <v>14.285714285714285</v>
      </c>
      <c r="F283" s="21">
        <f t="shared" si="13"/>
        <v>96</v>
      </c>
    </row>
    <row r="284" spans="1:7" ht="20.25" customHeight="1">
      <c r="A284" s="3" t="s">
        <v>35</v>
      </c>
      <c r="B284" s="3">
        <v>25</v>
      </c>
      <c r="C284" s="75">
        <v>30</v>
      </c>
      <c r="D284" s="3">
        <v>24</v>
      </c>
      <c r="E284" s="21">
        <f t="shared" si="12"/>
        <v>4.1666666666666661</v>
      </c>
      <c r="F284" s="21">
        <f t="shared" si="13"/>
        <v>83.333333333333343</v>
      </c>
    </row>
    <row r="285" spans="1:7" ht="20.25" customHeight="1">
      <c r="A285" s="3" t="s">
        <v>174</v>
      </c>
      <c r="B285" s="3">
        <v>35</v>
      </c>
      <c r="C285" s="75">
        <v>40</v>
      </c>
      <c r="D285" s="3">
        <v>32</v>
      </c>
      <c r="E285" s="21">
        <f t="shared" si="12"/>
        <v>9.375</v>
      </c>
      <c r="F285" s="21">
        <f t="shared" si="13"/>
        <v>87.5</v>
      </c>
    </row>
    <row r="286" spans="1:7" ht="20.25" customHeight="1">
      <c r="A286" s="3" t="s">
        <v>227</v>
      </c>
      <c r="B286" s="3"/>
      <c r="C286" s="75"/>
      <c r="D286" s="3">
        <v>0</v>
      </c>
      <c r="E286" s="21" t="e">
        <f t="shared" si="12"/>
        <v>#DIV/0!</v>
      </c>
      <c r="F286" s="21" t="e">
        <f t="shared" si="13"/>
        <v>#DIV/0!</v>
      </c>
    </row>
    <row r="287" spans="1:7" ht="20.25" customHeight="1">
      <c r="A287" s="3" t="s">
        <v>46</v>
      </c>
      <c r="B287" s="3">
        <v>309</v>
      </c>
      <c r="C287" s="75">
        <v>310</v>
      </c>
      <c r="D287" s="3">
        <v>196</v>
      </c>
      <c r="E287" s="21">
        <f t="shared" si="12"/>
        <v>57.653061224489797</v>
      </c>
      <c r="F287" s="21">
        <f t="shared" si="13"/>
        <v>99.677419354838719</v>
      </c>
    </row>
    <row r="288" spans="1:7" ht="20.25" customHeight="1">
      <c r="A288" s="3" t="s">
        <v>228</v>
      </c>
      <c r="B288" s="3">
        <v>57</v>
      </c>
      <c r="C288" s="75">
        <v>60</v>
      </c>
      <c r="D288" s="3">
        <v>6</v>
      </c>
      <c r="E288" s="21">
        <f t="shared" si="12"/>
        <v>850</v>
      </c>
      <c r="F288" s="21">
        <f t="shared" si="13"/>
        <v>95</v>
      </c>
    </row>
    <row r="289" spans="1:7" ht="20.25" customHeight="1">
      <c r="A289" s="3" t="s">
        <v>229</v>
      </c>
      <c r="B289" s="3">
        <f>B290</f>
        <v>0</v>
      </c>
      <c r="C289" s="75"/>
      <c r="D289" s="3">
        <f>D290</f>
        <v>0</v>
      </c>
      <c r="E289" s="21" t="e">
        <f t="shared" si="12"/>
        <v>#DIV/0!</v>
      </c>
      <c r="F289" s="21" t="e">
        <f t="shared" si="13"/>
        <v>#DIV/0!</v>
      </c>
    </row>
    <row r="290" spans="1:7" ht="20.25" customHeight="1">
      <c r="A290" s="3" t="s">
        <v>230</v>
      </c>
      <c r="B290" s="3"/>
      <c r="C290" s="75"/>
      <c r="D290" s="3"/>
      <c r="E290" s="21" t="e">
        <f t="shared" si="12"/>
        <v>#DIV/0!</v>
      </c>
      <c r="F290" s="21" t="e">
        <f t="shared" si="13"/>
        <v>#DIV/0!</v>
      </c>
    </row>
    <row r="291" spans="1:7" ht="20.25" customHeight="1">
      <c r="A291" s="3" t="s">
        <v>231</v>
      </c>
      <c r="B291" s="3">
        <f>B292+B295+B299+B303+B312+B318+B323+B326+B328+B330+B333+B314</f>
        <v>13867</v>
      </c>
      <c r="C291" s="75">
        <f>C292+C295+C299+C303+C312+C318+C323+C326+C328+C330+C333+C314</f>
        <v>14417</v>
      </c>
      <c r="D291" s="3">
        <f>D292+D295+D299+D303+D312+D318+D323+D326+D328+D330+D333+D314</f>
        <v>17604</v>
      </c>
      <c r="E291" s="21">
        <f t="shared" si="12"/>
        <v>-21.228129970461261</v>
      </c>
      <c r="F291" s="21">
        <f t="shared" si="13"/>
        <v>96.185059304987163</v>
      </c>
    </row>
    <row r="292" spans="1:7" ht="20.25" customHeight="1">
      <c r="A292" s="3" t="s">
        <v>232</v>
      </c>
      <c r="B292" s="3">
        <f>SUM(B293:B294)</f>
        <v>170</v>
      </c>
      <c r="C292" s="75">
        <f>SUM(C293:C294)</f>
        <v>171</v>
      </c>
      <c r="D292" s="3">
        <f>SUM(D293:D294)</f>
        <v>121</v>
      </c>
      <c r="E292" s="21">
        <f t="shared" si="12"/>
        <v>40.495867768595041</v>
      </c>
      <c r="F292" s="21">
        <f t="shared" si="13"/>
        <v>99.415204678362571</v>
      </c>
    </row>
    <row r="293" spans="1:7" ht="20.25" customHeight="1">
      <c r="A293" s="3" t="s">
        <v>34</v>
      </c>
      <c r="B293" s="3">
        <v>149</v>
      </c>
      <c r="C293" s="75">
        <v>150</v>
      </c>
      <c r="D293" s="3">
        <v>121</v>
      </c>
      <c r="E293" s="21">
        <f t="shared" si="12"/>
        <v>23.140495867768596</v>
      </c>
      <c r="F293" s="21">
        <f t="shared" si="13"/>
        <v>99.333333333333329</v>
      </c>
    </row>
    <row r="294" spans="1:7" ht="20.25" customHeight="1">
      <c r="A294" s="3" t="s">
        <v>35</v>
      </c>
      <c r="B294" s="3">
        <v>21</v>
      </c>
      <c r="C294" s="75">
        <v>21</v>
      </c>
      <c r="D294" s="3"/>
      <c r="E294" s="21" t="e">
        <f t="shared" si="12"/>
        <v>#DIV/0!</v>
      </c>
      <c r="F294" s="21">
        <f t="shared" si="13"/>
        <v>100</v>
      </c>
    </row>
    <row r="295" spans="1:7" ht="20.25" customHeight="1">
      <c r="A295" s="3" t="s">
        <v>233</v>
      </c>
      <c r="B295" s="3">
        <f>SUM(B296:B298)</f>
        <v>872</v>
      </c>
      <c r="C295" s="75">
        <f>SUM(C296:C298)</f>
        <v>1220</v>
      </c>
      <c r="D295" s="3">
        <f>SUM(D296:D298)</f>
        <v>6393</v>
      </c>
      <c r="E295" s="21">
        <f t="shared" si="12"/>
        <v>-86.360081338964491</v>
      </c>
      <c r="F295" s="21">
        <f t="shared" si="13"/>
        <v>71.47540983606558</v>
      </c>
    </row>
    <row r="296" spans="1:7" ht="20.25" customHeight="1">
      <c r="A296" s="3" t="s">
        <v>234</v>
      </c>
      <c r="B296" s="3">
        <v>451</v>
      </c>
      <c r="C296" s="75">
        <f>300+151</f>
        <v>451</v>
      </c>
      <c r="D296" s="3">
        <v>5726</v>
      </c>
      <c r="E296" s="21">
        <f t="shared" si="12"/>
        <v>-92.123646524624519</v>
      </c>
      <c r="F296" s="21">
        <f t="shared" si="13"/>
        <v>100</v>
      </c>
    </row>
    <row r="297" spans="1:7" ht="20.25" customHeight="1">
      <c r="A297" s="3" t="s">
        <v>235</v>
      </c>
      <c r="B297" s="3">
        <v>91</v>
      </c>
      <c r="C297" s="75">
        <v>91</v>
      </c>
      <c r="D297" s="3">
        <v>27</v>
      </c>
      <c r="E297" s="21">
        <f t="shared" si="12"/>
        <v>237.03703703703701</v>
      </c>
      <c r="F297" s="21">
        <f t="shared" si="13"/>
        <v>100</v>
      </c>
      <c r="G297">
        <v>150</v>
      </c>
    </row>
    <row r="298" spans="1:7" ht="20.25" customHeight="1">
      <c r="A298" s="3" t="s">
        <v>236</v>
      </c>
      <c r="B298" s="3">
        <v>330</v>
      </c>
      <c r="C298" s="75">
        <f>378+300</f>
        <v>678</v>
      </c>
      <c r="D298" s="3">
        <v>640</v>
      </c>
      <c r="E298" s="21">
        <f t="shared" si="12"/>
        <v>-48.4375</v>
      </c>
      <c r="F298" s="21">
        <f t="shared" si="13"/>
        <v>48.672566371681413</v>
      </c>
      <c r="G298">
        <v>496</v>
      </c>
    </row>
    <row r="299" spans="1:7" ht="20.25" customHeight="1">
      <c r="A299" s="3" t="s">
        <v>237</v>
      </c>
      <c r="B299" s="3">
        <f>SUM(B301:B302)</f>
        <v>2635</v>
      </c>
      <c r="C299" s="75">
        <f>SUM(C301:C302)</f>
        <v>2228</v>
      </c>
      <c r="D299" s="3">
        <f>SUM(D301:D302)</f>
        <v>1747</v>
      </c>
      <c r="E299" s="21">
        <f t="shared" si="12"/>
        <v>50.829994275901548</v>
      </c>
      <c r="F299" s="21">
        <f t="shared" si="13"/>
        <v>118.26750448833035</v>
      </c>
    </row>
    <row r="300" spans="1:7" ht="20.25" customHeight="1">
      <c r="A300" s="3" t="s">
        <v>238</v>
      </c>
      <c r="B300" s="3"/>
      <c r="C300" s="75"/>
      <c r="D300" s="3"/>
      <c r="E300" s="21" t="e">
        <f t="shared" si="12"/>
        <v>#DIV/0!</v>
      </c>
      <c r="F300" s="21" t="e">
        <f t="shared" si="13"/>
        <v>#DIV/0!</v>
      </c>
    </row>
    <row r="301" spans="1:7" ht="20.25" customHeight="1">
      <c r="A301" s="3" t="s">
        <v>239</v>
      </c>
      <c r="B301" s="3">
        <f>1575-199</f>
        <v>1376</v>
      </c>
      <c r="C301" s="75">
        <f>1600-200</f>
        <v>1400</v>
      </c>
      <c r="D301" s="3">
        <v>181</v>
      </c>
      <c r="E301" s="21">
        <f t="shared" si="12"/>
        <v>660.22099447513813</v>
      </c>
      <c r="F301" s="21">
        <f t="shared" si="13"/>
        <v>98.285714285714292</v>
      </c>
    </row>
    <row r="302" spans="1:7" ht="20.25" customHeight="1">
      <c r="A302" s="3" t="s">
        <v>240</v>
      </c>
      <c r="B302" s="3">
        <f>1337-78</f>
        <v>1259</v>
      </c>
      <c r="C302" s="75">
        <f>574+341-87</f>
        <v>828</v>
      </c>
      <c r="D302" s="3">
        <v>1566</v>
      </c>
      <c r="E302" s="21">
        <f t="shared" si="12"/>
        <v>-19.604086845466156</v>
      </c>
      <c r="F302" s="21">
        <f t="shared" si="13"/>
        <v>152.05314009661836</v>
      </c>
      <c r="G302">
        <v>616</v>
      </c>
    </row>
    <row r="303" spans="1:7" ht="20.25" customHeight="1">
      <c r="A303" s="3" t="s">
        <v>241</v>
      </c>
      <c r="B303" s="3">
        <f>SUM(B304:B311)</f>
        <v>3526</v>
      </c>
      <c r="C303" s="75">
        <f t="shared" ref="C303:D303" si="14">SUM(C304:C311)</f>
        <v>3686</v>
      </c>
      <c r="D303" s="3">
        <f t="shared" si="14"/>
        <v>3419</v>
      </c>
      <c r="E303" s="21">
        <f t="shared" si="12"/>
        <v>3.1295700497221413</v>
      </c>
      <c r="F303" s="21">
        <f t="shared" si="13"/>
        <v>95.6592512208356</v>
      </c>
    </row>
    <row r="304" spans="1:7" ht="20.25" customHeight="1">
      <c r="A304" s="3" t="s">
        <v>242</v>
      </c>
      <c r="B304" s="3">
        <v>358</v>
      </c>
      <c r="C304" s="75">
        <v>360</v>
      </c>
      <c r="D304" s="3">
        <v>313</v>
      </c>
      <c r="E304" s="21">
        <f t="shared" si="12"/>
        <v>14.376996805111823</v>
      </c>
      <c r="F304" s="21">
        <f t="shared" si="13"/>
        <v>99.444444444444443</v>
      </c>
    </row>
    <row r="305" spans="1:7" ht="20.25" customHeight="1">
      <c r="A305" s="3" t="s">
        <v>243</v>
      </c>
      <c r="B305" s="3">
        <v>111</v>
      </c>
      <c r="C305" s="75">
        <v>120</v>
      </c>
      <c r="D305" s="3">
        <v>94</v>
      </c>
      <c r="E305" s="21">
        <f t="shared" si="12"/>
        <v>18.085106382978726</v>
      </c>
      <c r="F305" s="21">
        <f t="shared" si="13"/>
        <v>92.5</v>
      </c>
    </row>
    <row r="306" spans="1:7" ht="20.25" customHeight="1">
      <c r="A306" s="3" t="s">
        <v>244</v>
      </c>
      <c r="B306" s="3">
        <v>236</v>
      </c>
      <c r="C306" s="75">
        <v>240</v>
      </c>
      <c r="D306" s="3">
        <v>234</v>
      </c>
      <c r="E306" s="21">
        <f t="shared" si="12"/>
        <v>0.85470085470085477</v>
      </c>
      <c r="F306" s="21">
        <f t="shared" si="13"/>
        <v>98.333333333333329</v>
      </c>
    </row>
    <row r="307" spans="1:7" ht="20.25" customHeight="1">
      <c r="A307" s="3" t="s">
        <v>245</v>
      </c>
      <c r="B307" s="3"/>
      <c r="C307" s="75"/>
      <c r="D307" s="3"/>
      <c r="E307" s="21" t="e">
        <f t="shared" si="12"/>
        <v>#DIV/0!</v>
      </c>
      <c r="F307" s="21" t="e">
        <f t="shared" si="13"/>
        <v>#DIV/0!</v>
      </c>
    </row>
    <row r="308" spans="1:7" ht="20.25" customHeight="1">
      <c r="A308" s="3" t="s">
        <v>246</v>
      </c>
      <c r="B308" s="3">
        <v>1880</v>
      </c>
      <c r="C308" s="75">
        <f>1735+150+111</f>
        <v>1996</v>
      </c>
      <c r="D308" s="3">
        <v>1912</v>
      </c>
      <c r="E308" s="21">
        <f t="shared" si="12"/>
        <v>-1.6736401673640167</v>
      </c>
      <c r="F308" s="21">
        <f t="shared" si="13"/>
        <v>94.188376753507015</v>
      </c>
      <c r="G308">
        <v>1151</v>
      </c>
    </row>
    <row r="309" spans="1:7" ht="20.25" customHeight="1">
      <c r="A309" s="3" t="s">
        <v>247</v>
      </c>
      <c r="B309" s="3">
        <v>739</v>
      </c>
      <c r="C309" s="75">
        <f>70+670</f>
        <v>740</v>
      </c>
      <c r="D309" s="3">
        <v>575</v>
      </c>
      <c r="E309" s="21">
        <f t="shared" si="12"/>
        <v>28.521739130434781</v>
      </c>
      <c r="F309" s="21">
        <f t="shared" si="13"/>
        <v>99.86486486486487</v>
      </c>
      <c r="G309">
        <v>256</v>
      </c>
    </row>
    <row r="310" spans="1:7" ht="20.25" customHeight="1">
      <c r="A310" s="3" t="s">
        <v>248</v>
      </c>
      <c r="B310" s="3">
        <f>30-28</f>
        <v>2</v>
      </c>
      <c r="C310" s="75">
        <v>30</v>
      </c>
      <c r="D310" s="3">
        <v>273</v>
      </c>
      <c r="E310" s="21">
        <f t="shared" si="12"/>
        <v>-99.26739926739927</v>
      </c>
      <c r="F310" s="21">
        <f t="shared" si="13"/>
        <v>6.666666666666667</v>
      </c>
    </row>
    <row r="311" spans="1:7" ht="20.25" customHeight="1">
      <c r="A311" s="3" t="s">
        <v>249</v>
      </c>
      <c r="B311" s="3">
        <v>200</v>
      </c>
      <c r="C311" s="75">
        <v>200</v>
      </c>
      <c r="D311" s="3">
        <v>18</v>
      </c>
      <c r="E311" s="21">
        <f t="shared" si="12"/>
        <v>1011.1111111111111</v>
      </c>
      <c r="F311" s="21">
        <f t="shared" si="13"/>
        <v>100</v>
      </c>
    </row>
    <row r="312" spans="1:7" ht="20.25" customHeight="1">
      <c r="A312" s="3" t="s">
        <v>250</v>
      </c>
      <c r="B312" s="3">
        <f>B313</f>
        <v>52</v>
      </c>
      <c r="C312" s="75">
        <f>C313</f>
        <v>52</v>
      </c>
      <c r="D312" s="3">
        <f>D313</f>
        <v>50</v>
      </c>
      <c r="E312" s="21">
        <f t="shared" si="12"/>
        <v>4</v>
      </c>
      <c r="F312" s="21">
        <f t="shared" si="13"/>
        <v>100</v>
      </c>
    </row>
    <row r="313" spans="1:7" ht="20.25" customHeight="1">
      <c r="A313" s="3" t="s">
        <v>251</v>
      </c>
      <c r="B313" s="3">
        <v>52</v>
      </c>
      <c r="C313" s="75">
        <v>52</v>
      </c>
      <c r="D313" s="3">
        <v>50</v>
      </c>
      <c r="E313" s="21">
        <f t="shared" si="12"/>
        <v>4</v>
      </c>
      <c r="F313" s="21">
        <f t="shared" si="13"/>
        <v>100</v>
      </c>
    </row>
    <row r="314" spans="1:7" ht="20.25" customHeight="1">
      <c r="A314" s="3" t="s">
        <v>252</v>
      </c>
      <c r="B314" s="3">
        <f>SUM(B315:B317)</f>
        <v>1178</v>
      </c>
      <c r="C314" s="75">
        <f>SUM(C315:C317)</f>
        <v>1072</v>
      </c>
      <c r="D314" s="3">
        <f>SUM(D315:D317)</f>
        <v>1075</v>
      </c>
      <c r="E314" s="21">
        <f t="shared" si="12"/>
        <v>9.5813953488372086</v>
      </c>
      <c r="F314" s="21">
        <f t="shared" si="13"/>
        <v>109.88805970149254</v>
      </c>
    </row>
    <row r="315" spans="1:7" ht="20.25" customHeight="1">
      <c r="A315" s="3" t="s">
        <v>253</v>
      </c>
      <c r="B315" s="3"/>
      <c r="C315" s="75"/>
      <c r="D315" s="3"/>
      <c r="E315" s="21" t="e">
        <f t="shared" si="12"/>
        <v>#DIV/0!</v>
      </c>
      <c r="F315" s="21" t="e">
        <f t="shared" si="13"/>
        <v>#DIV/0!</v>
      </c>
    </row>
    <row r="316" spans="1:7" ht="20.25" customHeight="1">
      <c r="A316" s="3" t="s">
        <v>254</v>
      </c>
      <c r="B316" s="3">
        <v>1178</v>
      </c>
      <c r="C316" s="75">
        <f>884+189-1</f>
        <v>1072</v>
      </c>
      <c r="D316" s="3">
        <v>1075</v>
      </c>
      <c r="E316" s="21">
        <f t="shared" si="12"/>
        <v>9.5813953488372086</v>
      </c>
      <c r="F316" s="21">
        <f t="shared" si="13"/>
        <v>109.88805970149254</v>
      </c>
      <c r="G316">
        <v>501</v>
      </c>
    </row>
    <row r="317" spans="1:7" ht="20.25" customHeight="1">
      <c r="A317" s="3" t="s">
        <v>255</v>
      </c>
      <c r="B317" s="3"/>
      <c r="C317" s="75"/>
      <c r="D317" s="3"/>
      <c r="E317" s="21" t="e">
        <f t="shared" si="12"/>
        <v>#DIV/0!</v>
      </c>
      <c r="F317" s="21" t="e">
        <f t="shared" si="13"/>
        <v>#DIV/0!</v>
      </c>
      <c r="G317">
        <v>47</v>
      </c>
    </row>
    <row r="318" spans="1:7" ht="20.25" customHeight="1">
      <c r="A318" s="3" t="s">
        <v>256</v>
      </c>
      <c r="B318" s="3">
        <f>SUM(B319:B322)</f>
        <v>4186</v>
      </c>
      <c r="C318" s="75">
        <f>SUM(C319:C322)</f>
        <v>4294</v>
      </c>
      <c r="D318" s="3">
        <f>SUM(D319:D322)</f>
        <v>3444</v>
      </c>
      <c r="E318" s="21">
        <f t="shared" si="12"/>
        <v>21.544715447154474</v>
      </c>
      <c r="F318" s="21">
        <f t="shared" si="13"/>
        <v>97.484862598975326</v>
      </c>
    </row>
    <row r="319" spans="1:7" ht="20.25" customHeight="1">
      <c r="A319" s="3" t="s">
        <v>257</v>
      </c>
      <c r="B319" s="3">
        <f>1293-272</f>
        <v>1021</v>
      </c>
      <c r="C319" s="75">
        <f>1300-252</f>
        <v>1048</v>
      </c>
      <c r="D319" s="3">
        <v>1000</v>
      </c>
      <c r="E319" s="21">
        <f t="shared" si="12"/>
        <v>2.1</v>
      </c>
      <c r="F319" s="21">
        <f t="shared" si="13"/>
        <v>97.42366412213741</v>
      </c>
    </row>
    <row r="320" spans="1:7" ht="20.25" customHeight="1">
      <c r="A320" s="3" t="s">
        <v>258</v>
      </c>
      <c r="B320" s="3">
        <v>3165</v>
      </c>
      <c r="C320" s="75">
        <v>3246</v>
      </c>
      <c r="D320" s="3">
        <v>2443</v>
      </c>
      <c r="E320" s="21">
        <f t="shared" si="12"/>
        <v>29.553827261563654</v>
      </c>
      <c r="F320" s="21">
        <f t="shared" si="13"/>
        <v>97.504621072088725</v>
      </c>
    </row>
    <row r="321" spans="1:7" ht="20.25" customHeight="1">
      <c r="A321" s="3" t="s">
        <v>259</v>
      </c>
      <c r="B321" s="3"/>
      <c r="C321" s="75"/>
      <c r="D321" s="3">
        <v>1</v>
      </c>
      <c r="E321" s="21">
        <f t="shared" si="12"/>
        <v>-100</v>
      </c>
      <c r="F321" s="21" t="e">
        <f t="shared" si="13"/>
        <v>#DIV/0!</v>
      </c>
      <c r="G321">
        <v>2</v>
      </c>
    </row>
    <row r="322" spans="1:7" ht="20.25" customHeight="1">
      <c r="A322" s="3" t="s">
        <v>260</v>
      </c>
      <c r="B322" s="3"/>
      <c r="C322" s="75"/>
      <c r="D322" s="3"/>
      <c r="E322" s="21" t="e">
        <f t="shared" si="12"/>
        <v>#DIV/0!</v>
      </c>
      <c r="F322" s="21" t="e">
        <f t="shared" si="13"/>
        <v>#DIV/0!</v>
      </c>
    </row>
    <row r="323" spans="1:7" ht="20.25" customHeight="1">
      <c r="A323" s="3" t="s">
        <v>261</v>
      </c>
      <c r="B323" s="3">
        <f>B324+B325</f>
        <v>1147</v>
      </c>
      <c r="C323" s="75">
        <f>C324+C325</f>
        <v>1593</v>
      </c>
      <c r="D323" s="3">
        <f>D324+D325</f>
        <v>1049</v>
      </c>
      <c r="E323" s="21">
        <f t="shared" si="12"/>
        <v>9.3422306959008576</v>
      </c>
      <c r="F323" s="21">
        <f t="shared" si="13"/>
        <v>72.002510985561827</v>
      </c>
    </row>
    <row r="324" spans="1:7" ht="20.25" customHeight="1">
      <c r="A324" s="3" t="s">
        <v>262</v>
      </c>
      <c r="B324" s="3">
        <v>1147</v>
      </c>
      <c r="C324" s="75">
        <f>446+1147</f>
        <v>1593</v>
      </c>
      <c r="D324" s="3">
        <v>1049</v>
      </c>
      <c r="E324" s="21">
        <f t="shared" si="12"/>
        <v>9.3422306959008576</v>
      </c>
      <c r="F324" s="21">
        <f t="shared" si="13"/>
        <v>72.002510985561827</v>
      </c>
      <c r="G324">
        <f>6602-284</f>
        <v>6318</v>
      </c>
    </row>
    <row r="325" spans="1:7" ht="20.25" customHeight="1">
      <c r="A325" s="3" t="s">
        <v>263</v>
      </c>
      <c r="B325" s="3"/>
      <c r="C325" s="75"/>
      <c r="D325" s="3"/>
      <c r="E325" s="21" t="e">
        <f t="shared" si="12"/>
        <v>#DIV/0!</v>
      </c>
      <c r="F325" s="21" t="e">
        <f t="shared" si="13"/>
        <v>#DIV/0!</v>
      </c>
    </row>
    <row r="326" spans="1:7" ht="20.25" customHeight="1">
      <c r="A326" s="3" t="s">
        <v>264</v>
      </c>
      <c r="B326" s="3">
        <f>B327</f>
        <v>0</v>
      </c>
      <c r="C326" s="75">
        <f>C327</f>
        <v>0</v>
      </c>
      <c r="D326" s="3">
        <f>D327</f>
        <v>189</v>
      </c>
      <c r="E326" s="21">
        <f t="shared" ref="E326:E389" si="15">(B326-D326)/D326*100</f>
        <v>-100</v>
      </c>
      <c r="F326" s="21" t="e">
        <f t="shared" ref="F326:F389" si="16">B326/C326*100</f>
        <v>#DIV/0!</v>
      </c>
    </row>
    <row r="327" spans="1:7" ht="20.25" customHeight="1">
      <c r="A327" s="3" t="s">
        <v>265</v>
      </c>
      <c r="B327" s="3"/>
      <c r="C327" s="75"/>
      <c r="D327" s="3">
        <v>189</v>
      </c>
      <c r="E327" s="21">
        <f t="shared" si="15"/>
        <v>-100</v>
      </c>
      <c r="F327" s="21" t="e">
        <f t="shared" si="16"/>
        <v>#DIV/0!</v>
      </c>
      <c r="G327">
        <v>274</v>
      </c>
    </row>
    <row r="328" spans="1:7" ht="20.25" customHeight="1">
      <c r="A328" s="3" t="s">
        <v>266</v>
      </c>
      <c r="B328" s="3">
        <f>B329</f>
        <v>45</v>
      </c>
      <c r="C328" s="75">
        <f>C329</f>
        <v>45</v>
      </c>
      <c r="D328" s="3">
        <f>D329</f>
        <v>45</v>
      </c>
      <c r="E328" s="21">
        <f t="shared" si="15"/>
        <v>0</v>
      </c>
      <c r="F328" s="21">
        <f t="shared" si="16"/>
        <v>100</v>
      </c>
    </row>
    <row r="329" spans="1:7" ht="20.25" customHeight="1">
      <c r="A329" s="3" t="s">
        <v>267</v>
      </c>
      <c r="B329" s="3">
        <v>45</v>
      </c>
      <c r="C329" s="75">
        <v>45</v>
      </c>
      <c r="D329" s="3">
        <v>45</v>
      </c>
      <c r="E329" s="21">
        <f t="shared" si="15"/>
        <v>0</v>
      </c>
      <c r="F329" s="21">
        <f t="shared" si="16"/>
        <v>100</v>
      </c>
      <c r="G329">
        <v>51</v>
      </c>
    </row>
    <row r="330" spans="1:7" ht="20.25" customHeight="1">
      <c r="A330" s="3" t="s">
        <v>268</v>
      </c>
      <c r="B330" s="3">
        <f>SUM(B331:B332)</f>
        <v>55</v>
      </c>
      <c r="C330" s="75">
        <f>SUM(C331:C332)</f>
        <v>55</v>
      </c>
      <c r="D330" s="3">
        <f>SUM(D331:D332)</f>
        <v>70</v>
      </c>
      <c r="E330" s="21">
        <f t="shared" si="15"/>
        <v>-21.428571428571427</v>
      </c>
      <c r="F330" s="21">
        <f t="shared" si="16"/>
        <v>100</v>
      </c>
    </row>
    <row r="331" spans="1:7" ht="20.25" customHeight="1">
      <c r="A331" s="3" t="s">
        <v>34</v>
      </c>
      <c r="B331" s="3">
        <v>46</v>
      </c>
      <c r="C331" s="75">
        <v>46</v>
      </c>
      <c r="D331" s="3">
        <v>40</v>
      </c>
      <c r="E331" s="21">
        <f t="shared" si="15"/>
        <v>15</v>
      </c>
      <c r="F331" s="21">
        <f t="shared" si="16"/>
        <v>100</v>
      </c>
    </row>
    <row r="332" spans="1:7" ht="20.25" customHeight="1">
      <c r="A332" s="3" t="s">
        <v>35</v>
      </c>
      <c r="B332" s="3">
        <v>9</v>
      </c>
      <c r="C332" s="75">
        <v>9</v>
      </c>
      <c r="D332" s="3">
        <v>30</v>
      </c>
      <c r="E332" s="21">
        <f t="shared" si="15"/>
        <v>-70</v>
      </c>
      <c r="F332" s="21">
        <f t="shared" si="16"/>
        <v>100</v>
      </c>
    </row>
    <row r="333" spans="1:7" ht="20.25" customHeight="1">
      <c r="A333" s="3" t="s">
        <v>269</v>
      </c>
      <c r="B333" s="3">
        <f>B334</f>
        <v>1</v>
      </c>
      <c r="C333" s="75">
        <f>C334</f>
        <v>1</v>
      </c>
      <c r="D333" s="3">
        <f>D334</f>
        <v>2</v>
      </c>
      <c r="E333" s="21">
        <f t="shared" si="15"/>
        <v>-50</v>
      </c>
      <c r="F333" s="21">
        <f t="shared" si="16"/>
        <v>100</v>
      </c>
    </row>
    <row r="334" spans="1:7" ht="20.25" customHeight="1">
      <c r="A334" s="3" t="s">
        <v>270</v>
      </c>
      <c r="B334" s="3">
        <v>1</v>
      </c>
      <c r="C334" s="75">
        <v>1</v>
      </c>
      <c r="D334" s="3">
        <v>2</v>
      </c>
      <c r="E334" s="21">
        <f t="shared" si="15"/>
        <v>-50</v>
      </c>
      <c r="F334" s="21">
        <f t="shared" si="16"/>
        <v>100</v>
      </c>
      <c r="G334">
        <v>1</v>
      </c>
    </row>
    <row r="335" spans="1:7" ht="20.25" customHeight="1">
      <c r="A335" s="3" t="s">
        <v>271</v>
      </c>
      <c r="B335" s="3">
        <f>B336+B339+B341+B346+B354+B350+B359+B361</f>
        <v>9153</v>
      </c>
      <c r="C335" s="75">
        <f>C336+C339+C341+C346+C354+C350+C359+C361</f>
        <v>8526</v>
      </c>
      <c r="D335" s="3">
        <f>D336+D339+D341+D346+D354+D350+D359+D361</f>
        <v>4764</v>
      </c>
      <c r="E335" s="21">
        <f t="shared" si="15"/>
        <v>92.128463476070536</v>
      </c>
      <c r="F335" s="21">
        <f t="shared" si="16"/>
        <v>107.35397607318791</v>
      </c>
    </row>
    <row r="336" spans="1:7" ht="20.25" customHeight="1">
      <c r="A336" s="3" t="s">
        <v>272</v>
      </c>
      <c r="B336" s="3">
        <f>SUM(B337:B338)</f>
        <v>242</v>
      </c>
      <c r="C336" s="75">
        <f>SUM(C337:C338)</f>
        <v>250</v>
      </c>
      <c r="D336" s="3">
        <f>SUM(D337:D338)</f>
        <v>231</v>
      </c>
      <c r="E336" s="21">
        <f t="shared" si="15"/>
        <v>4.7619047619047619</v>
      </c>
      <c r="F336" s="21">
        <f t="shared" si="16"/>
        <v>96.8</v>
      </c>
    </row>
    <row r="337" spans="1:7" ht="20.25" customHeight="1">
      <c r="A337" s="3" t="s">
        <v>34</v>
      </c>
      <c r="B337" s="3">
        <v>1</v>
      </c>
      <c r="C337" s="75">
        <v>1</v>
      </c>
      <c r="D337" s="3"/>
      <c r="E337" s="21" t="e">
        <f t="shared" si="15"/>
        <v>#DIV/0!</v>
      </c>
      <c r="F337" s="21">
        <f t="shared" si="16"/>
        <v>100</v>
      </c>
    </row>
    <row r="338" spans="1:7" ht="20.25" customHeight="1">
      <c r="A338" s="3" t="s">
        <v>273</v>
      </c>
      <c r="B338" s="3">
        <v>241</v>
      </c>
      <c r="C338" s="75">
        <v>249</v>
      </c>
      <c r="D338" s="3">
        <v>231</v>
      </c>
      <c r="E338" s="21">
        <f t="shared" si="15"/>
        <v>4.329004329004329</v>
      </c>
      <c r="F338" s="21">
        <f t="shared" si="16"/>
        <v>96.787148594377513</v>
      </c>
    </row>
    <row r="339" spans="1:7" ht="20.25" customHeight="1">
      <c r="A339" s="3" t="s">
        <v>274</v>
      </c>
      <c r="B339" s="3">
        <f>B340</f>
        <v>18</v>
      </c>
      <c r="C339" s="75">
        <f>C340</f>
        <v>18</v>
      </c>
      <c r="D339" s="3">
        <f>D340</f>
        <v>42</v>
      </c>
      <c r="E339" s="21">
        <f t="shared" si="15"/>
        <v>-57.142857142857139</v>
      </c>
      <c r="F339" s="21">
        <f t="shared" si="16"/>
        <v>100</v>
      </c>
    </row>
    <row r="340" spans="1:7" ht="20.25" customHeight="1">
      <c r="A340" s="3" t="s">
        <v>275</v>
      </c>
      <c r="B340" s="3">
        <v>18</v>
      </c>
      <c r="C340" s="75">
        <v>18</v>
      </c>
      <c r="D340" s="3">
        <v>42</v>
      </c>
      <c r="E340" s="21">
        <f t="shared" si="15"/>
        <v>-57.142857142857139</v>
      </c>
      <c r="F340" s="21">
        <f t="shared" si="16"/>
        <v>100</v>
      </c>
    </row>
    <row r="341" spans="1:7" ht="20.25" customHeight="1">
      <c r="A341" s="3" t="s">
        <v>276</v>
      </c>
      <c r="B341" s="3">
        <f>SUM(B342:B345)</f>
        <v>4361</v>
      </c>
      <c r="C341" s="75">
        <f>SUM(C342:C345)</f>
        <v>3726</v>
      </c>
      <c r="D341" s="3">
        <f>SUM(D342:D345)</f>
        <v>1110</v>
      </c>
      <c r="E341" s="21">
        <f t="shared" si="15"/>
        <v>292.88288288288288</v>
      </c>
      <c r="F341" s="21">
        <f t="shared" si="16"/>
        <v>117.04240472356415</v>
      </c>
    </row>
    <row r="342" spans="1:7" ht="20.25" customHeight="1">
      <c r="A342" s="3" t="s">
        <v>277</v>
      </c>
      <c r="B342" s="3"/>
      <c r="C342" s="75"/>
      <c r="D342" s="3">
        <v>161</v>
      </c>
      <c r="E342" s="21">
        <f t="shared" si="15"/>
        <v>-100</v>
      </c>
      <c r="F342" s="21" t="e">
        <f t="shared" si="16"/>
        <v>#DIV/0!</v>
      </c>
      <c r="G342">
        <v>125</v>
      </c>
    </row>
    <row r="343" spans="1:7" ht="20.25" customHeight="1">
      <c r="A343" s="3" t="s">
        <v>278</v>
      </c>
      <c r="B343" s="3">
        <v>4361</v>
      </c>
      <c r="C343" s="75">
        <f>2620+1106</f>
        <v>3726</v>
      </c>
      <c r="D343" s="3">
        <v>949</v>
      </c>
      <c r="E343" s="21">
        <f t="shared" si="15"/>
        <v>359.53635405690198</v>
      </c>
      <c r="F343" s="21">
        <f t="shared" si="16"/>
        <v>117.04240472356415</v>
      </c>
      <c r="G343">
        <v>1671</v>
      </c>
    </row>
    <row r="344" spans="1:7" ht="20.25" customHeight="1">
      <c r="A344" s="3" t="s">
        <v>279</v>
      </c>
      <c r="B344" s="3"/>
      <c r="C344" s="75"/>
      <c r="D344" s="3"/>
      <c r="E344" s="21" t="e">
        <f t="shared" si="15"/>
        <v>#DIV/0!</v>
      </c>
      <c r="F344" s="21" t="e">
        <f t="shared" si="16"/>
        <v>#DIV/0!</v>
      </c>
      <c r="G344">
        <v>92</v>
      </c>
    </row>
    <row r="345" spans="1:7" ht="20.25" customHeight="1">
      <c r="A345" s="3" t="s">
        <v>280</v>
      </c>
      <c r="B345" s="3"/>
      <c r="C345" s="75"/>
      <c r="D345" s="3"/>
      <c r="E345" s="21" t="e">
        <f t="shared" si="15"/>
        <v>#DIV/0!</v>
      </c>
      <c r="F345" s="21" t="e">
        <f t="shared" si="16"/>
        <v>#DIV/0!</v>
      </c>
    </row>
    <row r="346" spans="1:7" ht="20.25" customHeight="1">
      <c r="A346" s="3" t="s">
        <v>281</v>
      </c>
      <c r="B346" s="3">
        <f>SUM(B347:B348)</f>
        <v>603</v>
      </c>
      <c r="C346" s="75">
        <f>SUM(C347:C348)</f>
        <v>603</v>
      </c>
      <c r="D346" s="3">
        <f>SUM(D347:D348)</f>
        <v>752</v>
      </c>
      <c r="E346" s="21">
        <f t="shared" si="15"/>
        <v>-19.813829787234042</v>
      </c>
      <c r="F346" s="21">
        <f t="shared" si="16"/>
        <v>100</v>
      </c>
    </row>
    <row r="347" spans="1:7" ht="20.25" customHeight="1">
      <c r="A347" s="3" t="s">
        <v>282</v>
      </c>
      <c r="B347" s="3">
        <v>601</v>
      </c>
      <c r="C347" s="75">
        <v>601</v>
      </c>
      <c r="D347" s="3">
        <v>593</v>
      </c>
      <c r="E347" s="21">
        <f t="shared" si="15"/>
        <v>1.3490725126475547</v>
      </c>
      <c r="F347" s="21">
        <f t="shared" si="16"/>
        <v>100</v>
      </c>
    </row>
    <row r="348" spans="1:7" ht="20.25" customHeight="1">
      <c r="A348" s="3" t="s">
        <v>283</v>
      </c>
      <c r="B348" s="3">
        <f>14-12</f>
        <v>2</v>
      </c>
      <c r="C348" s="75">
        <f>13-11</f>
        <v>2</v>
      </c>
      <c r="D348" s="3">
        <v>159</v>
      </c>
      <c r="E348" s="21">
        <f t="shared" si="15"/>
        <v>-98.742138364779876</v>
      </c>
      <c r="F348" s="21">
        <f t="shared" si="16"/>
        <v>100</v>
      </c>
      <c r="G348">
        <v>25</v>
      </c>
    </row>
    <row r="349" spans="1:7" ht="20.25" customHeight="1">
      <c r="A349" s="3" t="s">
        <v>284</v>
      </c>
      <c r="B349" s="3"/>
      <c r="C349" s="75"/>
      <c r="D349" s="3"/>
      <c r="E349" s="21" t="e">
        <f t="shared" si="15"/>
        <v>#DIV/0!</v>
      </c>
      <c r="F349" s="21" t="e">
        <f t="shared" si="16"/>
        <v>#DIV/0!</v>
      </c>
    </row>
    <row r="350" spans="1:7" ht="20.25" customHeight="1">
      <c r="A350" s="3" t="s">
        <v>285</v>
      </c>
      <c r="B350" s="3">
        <f>SUM(B351:B353)</f>
        <v>3929</v>
      </c>
      <c r="C350" s="75">
        <f t="shared" ref="C350:D350" si="17">SUM(C351:C353)</f>
        <v>3929</v>
      </c>
      <c r="D350" s="3">
        <f t="shared" si="17"/>
        <v>2629</v>
      </c>
      <c r="E350" s="21">
        <f t="shared" si="15"/>
        <v>49.448459490300493</v>
      </c>
      <c r="F350" s="21">
        <f t="shared" si="16"/>
        <v>100</v>
      </c>
    </row>
    <row r="351" spans="1:7" s="42" customFormat="1" ht="20.25" customHeight="1">
      <c r="A351" s="3" t="s">
        <v>643</v>
      </c>
      <c r="B351" s="3">
        <v>1420</v>
      </c>
      <c r="C351" s="75">
        <v>1420</v>
      </c>
      <c r="D351" s="3"/>
      <c r="E351" s="21" t="e">
        <f t="shared" si="15"/>
        <v>#DIV/0!</v>
      </c>
      <c r="F351" s="21">
        <f t="shared" si="16"/>
        <v>100</v>
      </c>
    </row>
    <row r="352" spans="1:7" ht="20.25" customHeight="1">
      <c r="A352" s="3" t="s">
        <v>608</v>
      </c>
      <c r="B352" s="3">
        <v>2509</v>
      </c>
      <c r="C352" s="75">
        <v>2509</v>
      </c>
      <c r="D352" s="3">
        <v>2629</v>
      </c>
      <c r="E352" s="21">
        <f t="shared" si="15"/>
        <v>-4.5644731837200458</v>
      </c>
      <c r="F352" s="21">
        <f t="shared" si="16"/>
        <v>100</v>
      </c>
    </row>
    <row r="353" spans="1:7" ht="20.25" customHeight="1">
      <c r="A353" s="3" t="s">
        <v>286</v>
      </c>
      <c r="B353" s="3"/>
      <c r="C353" s="75"/>
      <c r="D353" s="3"/>
      <c r="E353" s="21" t="e">
        <f t="shared" si="15"/>
        <v>#DIV/0!</v>
      </c>
      <c r="F353" s="21" t="e">
        <f t="shared" si="16"/>
        <v>#DIV/0!</v>
      </c>
      <c r="G353">
        <v>1797</v>
      </c>
    </row>
    <row r="354" spans="1:7" ht="20.25" customHeight="1">
      <c r="A354" s="3" t="s">
        <v>287</v>
      </c>
      <c r="B354" s="3">
        <f>SUM(B355:B358)</f>
        <v>0</v>
      </c>
      <c r="C354" s="75">
        <f>SUM(C355:C358)</f>
        <v>0</v>
      </c>
      <c r="D354" s="3">
        <f>SUM(D355:D358)</f>
        <v>0</v>
      </c>
      <c r="E354" s="21" t="e">
        <f t="shared" si="15"/>
        <v>#DIV/0!</v>
      </c>
      <c r="F354" s="21" t="e">
        <f t="shared" si="16"/>
        <v>#DIV/0!</v>
      </c>
    </row>
    <row r="355" spans="1:7" ht="20.25" customHeight="1">
      <c r="A355" s="3" t="s">
        <v>288</v>
      </c>
      <c r="B355" s="3"/>
      <c r="C355" s="75"/>
      <c r="D355" s="3"/>
      <c r="E355" s="21" t="e">
        <f t="shared" si="15"/>
        <v>#DIV/0!</v>
      </c>
      <c r="F355" s="21" t="e">
        <f t="shared" si="16"/>
        <v>#DIV/0!</v>
      </c>
      <c r="G355">
        <v>180</v>
      </c>
    </row>
    <row r="356" spans="1:7" ht="20.25" customHeight="1">
      <c r="A356" s="3" t="s">
        <v>289</v>
      </c>
      <c r="B356" s="3"/>
      <c r="C356" s="75"/>
      <c r="D356" s="3"/>
      <c r="E356" s="21" t="e">
        <f t="shared" si="15"/>
        <v>#DIV/0!</v>
      </c>
      <c r="F356" s="21" t="e">
        <f t="shared" si="16"/>
        <v>#DIV/0!</v>
      </c>
      <c r="G356">
        <v>530</v>
      </c>
    </row>
    <row r="357" spans="1:7" ht="20.25" customHeight="1">
      <c r="A357" s="3" t="s">
        <v>290</v>
      </c>
      <c r="B357" s="3"/>
      <c r="C357" s="75"/>
      <c r="D357" s="3"/>
      <c r="E357" s="21" t="e">
        <f t="shared" si="15"/>
        <v>#DIV/0!</v>
      </c>
      <c r="F357" s="21" t="e">
        <f t="shared" si="16"/>
        <v>#DIV/0!</v>
      </c>
      <c r="G357">
        <v>19</v>
      </c>
    </row>
    <row r="358" spans="1:7" ht="20.25" customHeight="1">
      <c r="A358" s="3" t="s">
        <v>291</v>
      </c>
      <c r="B358" s="3"/>
      <c r="C358" s="75"/>
      <c r="D358" s="3"/>
      <c r="E358" s="21" t="e">
        <f t="shared" si="15"/>
        <v>#DIV/0!</v>
      </c>
      <c r="F358" s="21" t="e">
        <f t="shared" si="16"/>
        <v>#DIV/0!</v>
      </c>
      <c r="G358">
        <v>297</v>
      </c>
    </row>
    <row r="359" spans="1:7" ht="20.25" customHeight="1">
      <c r="A359" s="3" t="s">
        <v>292</v>
      </c>
      <c r="B359" s="3">
        <f>B360</f>
        <v>0</v>
      </c>
      <c r="C359" s="75">
        <f>C360</f>
        <v>0</v>
      </c>
      <c r="D359" s="3">
        <f>D360</f>
        <v>0</v>
      </c>
      <c r="E359" s="21" t="e">
        <f t="shared" si="15"/>
        <v>#DIV/0!</v>
      </c>
      <c r="F359" s="21" t="e">
        <f t="shared" si="16"/>
        <v>#DIV/0!</v>
      </c>
    </row>
    <row r="360" spans="1:7" ht="20.25" customHeight="1">
      <c r="A360" s="3" t="s">
        <v>293</v>
      </c>
      <c r="B360" s="3"/>
      <c r="C360" s="75"/>
      <c r="D360" s="3"/>
      <c r="E360" s="21" t="e">
        <f t="shared" si="15"/>
        <v>#DIV/0!</v>
      </c>
      <c r="F360" s="21" t="e">
        <f t="shared" si="16"/>
        <v>#DIV/0!</v>
      </c>
    </row>
    <row r="361" spans="1:7" ht="20.25" customHeight="1">
      <c r="A361" s="3" t="s">
        <v>294</v>
      </c>
      <c r="B361" s="3">
        <f>B362</f>
        <v>0</v>
      </c>
      <c r="C361" s="75"/>
      <c r="D361" s="3">
        <f>D362</f>
        <v>0</v>
      </c>
      <c r="E361" s="21" t="e">
        <f t="shared" si="15"/>
        <v>#DIV/0!</v>
      </c>
      <c r="F361" s="21" t="e">
        <f t="shared" si="16"/>
        <v>#DIV/0!</v>
      </c>
    </row>
    <row r="362" spans="1:7" ht="20.25" customHeight="1">
      <c r="A362" s="3" t="s">
        <v>295</v>
      </c>
      <c r="B362" s="3"/>
      <c r="C362" s="75"/>
      <c r="D362" s="3"/>
      <c r="E362" s="21" t="e">
        <f t="shared" si="15"/>
        <v>#DIV/0!</v>
      </c>
      <c r="F362" s="21" t="e">
        <f t="shared" si="16"/>
        <v>#DIV/0!</v>
      </c>
    </row>
    <row r="363" spans="1:7" ht="20.25" customHeight="1">
      <c r="A363" s="3" t="s">
        <v>296</v>
      </c>
      <c r="B363" s="3">
        <f>B364+B368+B370+B373+B375+B377</f>
        <v>4681</v>
      </c>
      <c r="C363" s="75">
        <f>C364+C368+C370+C373+C375+C377</f>
        <v>5552</v>
      </c>
      <c r="D363" s="3">
        <f>D364+D368+D370+D373+D375+D377</f>
        <v>3153</v>
      </c>
      <c r="E363" s="21">
        <f t="shared" si="15"/>
        <v>48.46178242943229</v>
      </c>
      <c r="F363" s="21">
        <f t="shared" si="16"/>
        <v>84.311959654178665</v>
      </c>
    </row>
    <row r="364" spans="1:7" ht="20.25" customHeight="1">
      <c r="A364" s="3" t="s">
        <v>297</v>
      </c>
      <c r="B364" s="3">
        <f>SUM(B365:B367)</f>
        <v>567</v>
      </c>
      <c r="C364" s="75">
        <f>SUM(C365:C367)</f>
        <v>572</v>
      </c>
      <c r="D364" s="3">
        <f>SUM(D365:D367)</f>
        <v>535</v>
      </c>
      <c r="E364" s="21">
        <f t="shared" si="15"/>
        <v>5.9813084112149539</v>
      </c>
      <c r="F364" s="21">
        <f t="shared" si="16"/>
        <v>99.12587412587412</v>
      </c>
    </row>
    <row r="365" spans="1:7" ht="20.25" customHeight="1">
      <c r="A365" s="3" t="s">
        <v>34</v>
      </c>
      <c r="B365" s="3">
        <v>148</v>
      </c>
      <c r="C365" s="75">
        <v>150</v>
      </c>
      <c r="D365" s="3">
        <v>146</v>
      </c>
      <c r="E365" s="21">
        <f t="shared" si="15"/>
        <v>1.3698630136986301</v>
      </c>
      <c r="F365" s="21">
        <f t="shared" si="16"/>
        <v>98.666666666666671</v>
      </c>
    </row>
    <row r="366" spans="1:7" ht="20.25" customHeight="1">
      <c r="A366" s="3" t="s">
        <v>298</v>
      </c>
      <c r="B366" s="3">
        <v>339</v>
      </c>
      <c r="C366" s="75">
        <f>300</f>
        <v>300</v>
      </c>
      <c r="D366" s="3">
        <v>292</v>
      </c>
      <c r="E366" s="21">
        <f t="shared" si="15"/>
        <v>16.095890410958905</v>
      </c>
      <c r="F366" s="21">
        <f t="shared" si="16"/>
        <v>112.99999999999999</v>
      </c>
    </row>
    <row r="367" spans="1:7" ht="20.25" customHeight="1">
      <c r="A367" s="3" t="s">
        <v>299</v>
      </c>
      <c r="B367" s="3">
        <f>169-89</f>
        <v>80</v>
      </c>
      <c r="C367" s="75">
        <f>170-48</f>
        <v>122</v>
      </c>
      <c r="D367" s="3">
        <v>97</v>
      </c>
      <c r="E367" s="21">
        <f t="shared" si="15"/>
        <v>-17.525773195876287</v>
      </c>
      <c r="F367" s="21">
        <f t="shared" si="16"/>
        <v>65.573770491803273</v>
      </c>
    </row>
    <row r="368" spans="1:7" ht="20.25" customHeight="1">
      <c r="A368" s="3" t="s">
        <v>300</v>
      </c>
      <c r="B368" s="3">
        <f>B369</f>
        <v>43</v>
      </c>
      <c r="C368" s="75">
        <f>C369</f>
        <v>43</v>
      </c>
      <c r="D368" s="3">
        <f>D369</f>
        <v>41</v>
      </c>
      <c r="E368" s="21">
        <f t="shared" si="15"/>
        <v>4.8780487804878048</v>
      </c>
      <c r="F368" s="21">
        <f t="shared" si="16"/>
        <v>100</v>
      </c>
    </row>
    <row r="369" spans="1:7" ht="20.25" customHeight="1">
      <c r="A369" s="3" t="s">
        <v>301</v>
      </c>
      <c r="B369" s="3">
        <v>43</v>
      </c>
      <c r="C369" s="75">
        <v>43</v>
      </c>
      <c r="D369" s="3">
        <v>41</v>
      </c>
      <c r="E369" s="21">
        <f t="shared" si="15"/>
        <v>4.8780487804878048</v>
      </c>
      <c r="F369" s="21">
        <f t="shared" si="16"/>
        <v>100</v>
      </c>
    </row>
    <row r="370" spans="1:7" ht="20.25" customHeight="1">
      <c r="A370" s="3" t="s">
        <v>302</v>
      </c>
      <c r="B370" s="3">
        <f>SUM(B371:B372)</f>
        <v>2257</v>
      </c>
      <c r="C370" s="75">
        <f>SUM(C371:C372)</f>
        <v>3019</v>
      </c>
      <c r="D370" s="3">
        <f>SUM(D371:D372)</f>
        <v>726</v>
      </c>
      <c r="E370" s="21">
        <f t="shared" si="15"/>
        <v>210.88154269972449</v>
      </c>
      <c r="F370" s="21">
        <f t="shared" si="16"/>
        <v>74.759854256376286</v>
      </c>
    </row>
    <row r="371" spans="1:7" ht="20.25" customHeight="1">
      <c r="A371" s="3" t="s">
        <v>303</v>
      </c>
      <c r="B371" s="3">
        <v>35</v>
      </c>
      <c r="C371" s="75">
        <v>75</v>
      </c>
      <c r="D371" s="3">
        <v>193</v>
      </c>
      <c r="E371" s="21">
        <f t="shared" si="15"/>
        <v>-81.865284974093271</v>
      </c>
      <c r="F371" s="21">
        <f t="shared" si="16"/>
        <v>46.666666666666664</v>
      </c>
    </row>
    <row r="372" spans="1:7" ht="20.25" customHeight="1">
      <c r="A372" s="3" t="s">
        <v>304</v>
      </c>
      <c r="B372" s="3">
        <f>2982-760</f>
        <v>2222</v>
      </c>
      <c r="C372" s="75">
        <f>129+3080-75-190</f>
        <v>2944</v>
      </c>
      <c r="D372" s="3">
        <v>533</v>
      </c>
      <c r="E372" s="21">
        <f t="shared" si="15"/>
        <v>316.88555347091932</v>
      </c>
      <c r="F372" s="21">
        <f t="shared" si="16"/>
        <v>75.47554347826086</v>
      </c>
      <c r="G372">
        <v>5281</v>
      </c>
    </row>
    <row r="373" spans="1:7" ht="20.25" customHeight="1">
      <c r="A373" s="3" t="s">
        <v>305</v>
      </c>
      <c r="B373" s="3">
        <f>B374</f>
        <v>1714</v>
      </c>
      <c r="C373" s="75">
        <f>C374</f>
        <v>1912</v>
      </c>
      <c r="D373" s="3">
        <f>D374</f>
        <v>1848</v>
      </c>
      <c r="E373" s="21">
        <f t="shared" si="15"/>
        <v>-7.2510822510822512</v>
      </c>
      <c r="F373" s="21">
        <f t="shared" si="16"/>
        <v>89.644351464435147</v>
      </c>
    </row>
    <row r="374" spans="1:7" ht="20.25" customHeight="1">
      <c r="A374" s="3" t="s">
        <v>306</v>
      </c>
      <c r="B374" s="3">
        <f>2728-1014</f>
        <v>1714</v>
      </c>
      <c r="C374" s="75">
        <f>3085-1173</f>
        <v>1912</v>
      </c>
      <c r="D374" s="3">
        <v>1848</v>
      </c>
      <c r="E374" s="21">
        <f t="shared" si="15"/>
        <v>-7.2510822510822512</v>
      </c>
      <c r="F374" s="21">
        <f t="shared" si="16"/>
        <v>89.644351464435147</v>
      </c>
    </row>
    <row r="375" spans="1:7" ht="20.25" customHeight="1">
      <c r="A375" s="3" t="s">
        <v>307</v>
      </c>
      <c r="B375" s="3">
        <f>B376</f>
        <v>12</v>
      </c>
      <c r="C375" s="75">
        <f>C376</f>
        <v>6</v>
      </c>
      <c r="D375" s="3">
        <f>D376</f>
        <v>3</v>
      </c>
      <c r="E375" s="21">
        <f t="shared" si="15"/>
        <v>300</v>
      </c>
      <c r="F375" s="21">
        <f t="shared" si="16"/>
        <v>200</v>
      </c>
    </row>
    <row r="376" spans="1:7" ht="20.25" customHeight="1">
      <c r="A376" s="3" t="s">
        <v>308</v>
      </c>
      <c r="B376" s="3">
        <v>12</v>
      </c>
      <c r="C376" s="75">
        <v>6</v>
      </c>
      <c r="D376" s="3">
        <v>3</v>
      </c>
      <c r="E376" s="21">
        <f t="shared" si="15"/>
        <v>300</v>
      </c>
      <c r="F376" s="21">
        <f t="shared" si="16"/>
        <v>200</v>
      </c>
    </row>
    <row r="377" spans="1:7" ht="20.25" customHeight="1">
      <c r="A377" s="3" t="s">
        <v>309</v>
      </c>
      <c r="B377" s="3">
        <f>B378</f>
        <v>88</v>
      </c>
      <c r="C377" s="75">
        <f t="shared" ref="C377:D377" si="18">C378</f>
        <v>0</v>
      </c>
      <c r="D377" s="3">
        <f t="shared" si="18"/>
        <v>0</v>
      </c>
      <c r="E377" s="21" t="e">
        <f t="shared" si="15"/>
        <v>#DIV/0!</v>
      </c>
      <c r="F377" s="21" t="e">
        <f t="shared" si="16"/>
        <v>#DIV/0!</v>
      </c>
    </row>
    <row r="378" spans="1:7" ht="20.25" customHeight="1">
      <c r="A378" s="3" t="s">
        <v>310</v>
      </c>
      <c r="B378" s="3">
        <v>88</v>
      </c>
      <c r="C378" s="75"/>
      <c r="D378" s="3"/>
      <c r="E378" s="21" t="e">
        <f t="shared" si="15"/>
        <v>#DIV/0!</v>
      </c>
      <c r="F378" s="21" t="e">
        <f t="shared" si="16"/>
        <v>#DIV/0!</v>
      </c>
    </row>
    <row r="379" spans="1:7" ht="20.25" customHeight="1">
      <c r="A379" s="3" t="s">
        <v>311</v>
      </c>
      <c r="B379" s="3">
        <f>B380+B402+B422+B440+B447+B452+B459+B468+B466</f>
        <v>61917</v>
      </c>
      <c r="C379" s="75">
        <f>C380+C402+C422+C440+C447+C452+C459+C468+C466</f>
        <v>71448</v>
      </c>
      <c r="D379" s="3">
        <f>D380+D402+D422+D440+D447+D452+D459+D468+D466</f>
        <v>59107</v>
      </c>
      <c r="E379" s="21">
        <f t="shared" si="15"/>
        <v>4.7540900400967736</v>
      </c>
      <c r="F379" s="21">
        <f t="shared" si="16"/>
        <v>86.660228417870343</v>
      </c>
    </row>
    <row r="380" spans="1:7" ht="20.25" customHeight="1">
      <c r="A380" s="3" t="s">
        <v>312</v>
      </c>
      <c r="B380" s="3">
        <f>SUM(B381:B401)</f>
        <v>14439</v>
      </c>
      <c r="C380" s="75">
        <f>SUM(C381:C401)</f>
        <v>21480</v>
      </c>
      <c r="D380" s="3">
        <f>SUM(D381:D401)</f>
        <v>16211</v>
      </c>
      <c r="E380" s="21">
        <f t="shared" si="15"/>
        <v>-10.930849423231139</v>
      </c>
      <c r="F380" s="21">
        <f t="shared" si="16"/>
        <v>67.220670391061461</v>
      </c>
    </row>
    <row r="381" spans="1:7" ht="20.25" customHeight="1">
      <c r="A381" s="3" t="s">
        <v>34</v>
      </c>
      <c r="B381" s="3">
        <v>272</v>
      </c>
      <c r="C381" s="75">
        <v>280</v>
      </c>
      <c r="D381" s="3">
        <v>262</v>
      </c>
      <c r="E381" s="21">
        <f t="shared" si="15"/>
        <v>3.8167938931297711</v>
      </c>
      <c r="F381" s="21">
        <f t="shared" si="16"/>
        <v>97.142857142857139</v>
      </c>
    </row>
    <row r="382" spans="1:7" ht="20.25" customHeight="1">
      <c r="A382" s="3" t="s">
        <v>313</v>
      </c>
      <c r="B382" s="3"/>
      <c r="C382" s="75"/>
      <c r="D382" s="3"/>
      <c r="E382" s="21" t="e">
        <f t="shared" si="15"/>
        <v>#DIV/0!</v>
      </c>
      <c r="F382" s="21" t="e">
        <f t="shared" si="16"/>
        <v>#DIV/0!</v>
      </c>
    </row>
    <row r="383" spans="1:7" ht="20.25" customHeight="1">
      <c r="A383" s="3" t="s">
        <v>46</v>
      </c>
      <c r="B383" s="3">
        <v>1566</v>
      </c>
      <c r="C383" s="75">
        <v>1600</v>
      </c>
      <c r="D383" s="3">
        <v>1422</v>
      </c>
      <c r="E383" s="21">
        <f t="shared" si="15"/>
        <v>10.126582278481013</v>
      </c>
      <c r="F383" s="21">
        <f t="shared" si="16"/>
        <v>97.875</v>
      </c>
    </row>
    <row r="384" spans="1:7" ht="20.25" customHeight="1">
      <c r="A384" s="3" t="s">
        <v>314</v>
      </c>
      <c r="B384" s="3">
        <v>150</v>
      </c>
      <c r="C384" s="75">
        <v>150</v>
      </c>
      <c r="D384" s="3"/>
      <c r="E384" s="21" t="e">
        <f t="shared" si="15"/>
        <v>#DIV/0!</v>
      </c>
      <c r="F384" s="21">
        <f t="shared" si="16"/>
        <v>100</v>
      </c>
      <c r="G384">
        <v>2076</v>
      </c>
    </row>
    <row r="385" spans="1:7" ht="20.25" customHeight="1">
      <c r="A385" s="3" t="s">
        <v>315</v>
      </c>
      <c r="B385" s="3">
        <v>106</v>
      </c>
      <c r="C385" s="75">
        <f>52+80</f>
        <v>132</v>
      </c>
      <c r="D385" s="3">
        <v>79</v>
      </c>
      <c r="E385" s="21">
        <f t="shared" si="15"/>
        <v>34.177215189873415</v>
      </c>
      <c r="F385" s="21">
        <f t="shared" si="16"/>
        <v>80.303030303030297</v>
      </c>
      <c r="G385">
        <v>79</v>
      </c>
    </row>
    <row r="386" spans="1:7" ht="20.25" customHeight="1">
      <c r="A386" s="3" t="s">
        <v>316</v>
      </c>
      <c r="B386" s="3"/>
      <c r="C386" s="75"/>
      <c r="D386" s="3">
        <v>40</v>
      </c>
      <c r="E386" s="21">
        <f t="shared" si="15"/>
        <v>-100</v>
      </c>
      <c r="F386" s="21" t="e">
        <f t="shared" si="16"/>
        <v>#DIV/0!</v>
      </c>
      <c r="G386">
        <v>50</v>
      </c>
    </row>
    <row r="387" spans="1:7" ht="20.25" customHeight="1">
      <c r="A387" s="3" t="s">
        <v>317</v>
      </c>
      <c r="B387" s="3">
        <v>73</v>
      </c>
      <c r="C387" s="75">
        <v>75</v>
      </c>
      <c r="D387" s="3"/>
      <c r="E387" s="21" t="e">
        <f t="shared" si="15"/>
        <v>#DIV/0!</v>
      </c>
      <c r="F387" s="21">
        <f t="shared" si="16"/>
        <v>97.333333333333343</v>
      </c>
      <c r="G387">
        <v>18</v>
      </c>
    </row>
    <row r="388" spans="1:7" ht="20.25" customHeight="1">
      <c r="A388" s="3" t="s">
        <v>318</v>
      </c>
      <c r="B388" s="3">
        <v>3</v>
      </c>
      <c r="C388" s="75">
        <v>3</v>
      </c>
      <c r="D388" s="3">
        <v>4</v>
      </c>
      <c r="E388" s="21">
        <f t="shared" si="15"/>
        <v>-25</v>
      </c>
      <c r="F388" s="21">
        <f t="shared" si="16"/>
        <v>100</v>
      </c>
      <c r="G388">
        <v>4</v>
      </c>
    </row>
    <row r="389" spans="1:7" ht="20.25" customHeight="1">
      <c r="A389" s="3" t="s">
        <v>319</v>
      </c>
      <c r="B389" s="3"/>
      <c r="C389" s="75"/>
      <c r="D389" s="3"/>
      <c r="E389" s="21" t="e">
        <f t="shared" si="15"/>
        <v>#DIV/0!</v>
      </c>
      <c r="F389" s="21" t="e">
        <f t="shared" si="16"/>
        <v>#DIV/0!</v>
      </c>
      <c r="G389">
        <v>175</v>
      </c>
    </row>
    <row r="390" spans="1:7" ht="20.25" customHeight="1">
      <c r="A390" s="3" t="s">
        <v>320</v>
      </c>
      <c r="B390" s="3"/>
      <c r="C390" s="75"/>
      <c r="D390" s="3">
        <v>15</v>
      </c>
      <c r="E390" s="21">
        <f t="shared" ref="E390:E453" si="19">(B390-D390)/D390*100</f>
        <v>-100</v>
      </c>
      <c r="F390" s="21" t="e">
        <f t="shared" ref="F390:F453" si="20">B390/C390*100</f>
        <v>#DIV/0!</v>
      </c>
    </row>
    <row r="391" spans="1:7" ht="20.25" customHeight="1">
      <c r="A391" s="3" t="s">
        <v>321</v>
      </c>
      <c r="B391" s="3"/>
      <c r="C391" s="75"/>
      <c r="D391" s="3"/>
      <c r="E391" s="21" t="e">
        <f t="shared" si="19"/>
        <v>#DIV/0!</v>
      </c>
      <c r="F391" s="21" t="e">
        <f t="shared" si="20"/>
        <v>#DIV/0!</v>
      </c>
      <c r="G391">
        <v>5615</v>
      </c>
    </row>
    <row r="392" spans="1:7" ht="20.25" customHeight="1">
      <c r="A392" s="75" t="s">
        <v>683</v>
      </c>
      <c r="B392" s="3"/>
      <c r="C392" s="75">
        <v>100</v>
      </c>
      <c r="D392" s="3">
        <v>398</v>
      </c>
      <c r="E392" s="21">
        <f t="shared" si="19"/>
        <v>-100</v>
      </c>
      <c r="F392" s="21">
        <f t="shared" si="20"/>
        <v>0</v>
      </c>
      <c r="G392">
        <v>143</v>
      </c>
    </row>
    <row r="393" spans="1:7" ht="20.25" customHeight="1">
      <c r="A393" s="3" t="s">
        <v>322</v>
      </c>
      <c r="B393" s="3">
        <v>6661</v>
      </c>
      <c r="C393" s="75">
        <f>7042-169</f>
        <v>6873</v>
      </c>
      <c r="D393" s="3">
        <v>5468</v>
      </c>
      <c r="E393" s="21">
        <f t="shared" si="19"/>
        <v>21.817849305047549</v>
      </c>
      <c r="F393" s="21">
        <f t="shared" si="20"/>
        <v>96.91546631747417</v>
      </c>
      <c r="G393">
        <v>5160</v>
      </c>
    </row>
    <row r="394" spans="1:7" ht="20.25" customHeight="1">
      <c r="A394" s="3" t="s">
        <v>609</v>
      </c>
      <c r="B394" s="3">
        <v>474</v>
      </c>
      <c r="C394" s="75">
        <v>474</v>
      </c>
      <c r="D394" s="3">
        <v>1519</v>
      </c>
      <c r="E394" s="21">
        <f t="shared" si="19"/>
        <v>-68.795260039499667</v>
      </c>
      <c r="F394" s="21">
        <f t="shared" si="20"/>
        <v>100</v>
      </c>
      <c r="G394">
        <v>82</v>
      </c>
    </row>
    <row r="395" spans="1:7" ht="20.25" customHeight="1">
      <c r="A395" s="3" t="s">
        <v>323</v>
      </c>
      <c r="B395" s="3">
        <v>658</v>
      </c>
      <c r="C395" s="75">
        <v>658</v>
      </c>
      <c r="D395" s="3"/>
      <c r="E395" s="21" t="e">
        <f t="shared" si="19"/>
        <v>#DIV/0!</v>
      </c>
      <c r="F395" s="21">
        <f t="shared" si="20"/>
        <v>100</v>
      </c>
    </row>
    <row r="396" spans="1:7" ht="20.25" customHeight="1">
      <c r="A396" s="75" t="s">
        <v>684</v>
      </c>
      <c r="B396" s="3">
        <f>521-300</f>
        <v>221</v>
      </c>
      <c r="C396" s="75">
        <f>221+360-69-300</f>
        <v>212</v>
      </c>
      <c r="D396" s="3">
        <v>590</v>
      </c>
      <c r="E396" s="21">
        <f t="shared" si="19"/>
        <v>-62.542372881355931</v>
      </c>
      <c r="F396" s="21">
        <f t="shared" si="20"/>
        <v>104.24528301886792</v>
      </c>
    </row>
    <row r="397" spans="1:7" ht="20.25" customHeight="1">
      <c r="A397" s="3" t="s">
        <v>324</v>
      </c>
      <c r="B397" s="3">
        <f>642-4</f>
        <v>638</v>
      </c>
      <c r="C397" s="75">
        <f>660-4</f>
        <v>656</v>
      </c>
      <c r="D397" s="3">
        <v>236</v>
      </c>
      <c r="E397" s="21">
        <f t="shared" si="19"/>
        <v>170.33898305084745</v>
      </c>
      <c r="F397" s="21">
        <f t="shared" si="20"/>
        <v>97.256097560975604</v>
      </c>
    </row>
    <row r="398" spans="1:7" ht="20.25" customHeight="1">
      <c r="A398" s="3" t="s">
        <v>325</v>
      </c>
      <c r="B398" s="3"/>
      <c r="C398" s="75"/>
      <c r="D398" s="3"/>
      <c r="E398" s="21" t="e">
        <f t="shared" si="19"/>
        <v>#DIV/0!</v>
      </c>
      <c r="F398" s="21" t="e">
        <f t="shared" si="20"/>
        <v>#DIV/0!</v>
      </c>
    </row>
    <row r="399" spans="1:7" ht="20.25" customHeight="1">
      <c r="A399" s="3" t="s">
        <v>610</v>
      </c>
      <c r="B399" s="3"/>
      <c r="C399" s="75"/>
      <c r="D399" s="3"/>
      <c r="E399" s="21" t="e">
        <f t="shared" si="19"/>
        <v>#DIV/0!</v>
      </c>
      <c r="F399" s="21" t="e">
        <f t="shared" si="20"/>
        <v>#DIV/0!</v>
      </c>
    </row>
    <row r="400" spans="1:7" ht="20.25" customHeight="1">
      <c r="A400" s="3" t="s">
        <v>611</v>
      </c>
      <c r="B400" s="3">
        <v>3134</v>
      </c>
      <c r="C400" s="75">
        <v>9702</v>
      </c>
      <c r="D400" s="3">
        <v>5492</v>
      </c>
      <c r="E400" s="21">
        <f t="shared" si="19"/>
        <v>-42.935178441369267</v>
      </c>
      <c r="F400" s="21">
        <f t="shared" si="20"/>
        <v>32.302618016903736</v>
      </c>
    </row>
    <row r="401" spans="1:7" ht="20.25" customHeight="1">
      <c r="A401" s="3" t="s">
        <v>326</v>
      </c>
      <c r="B401" s="3">
        <v>483</v>
      </c>
      <c r="C401" s="75">
        <f>416+149</f>
        <v>565</v>
      </c>
      <c r="D401" s="3">
        <v>686</v>
      </c>
      <c r="E401" s="21">
        <f t="shared" si="19"/>
        <v>-29.591836734693878</v>
      </c>
      <c r="F401" s="21">
        <f t="shared" si="20"/>
        <v>85.486725663716811</v>
      </c>
      <c r="G401">
        <v>860</v>
      </c>
    </row>
    <row r="402" spans="1:7" ht="20.25" customHeight="1">
      <c r="A402" s="3" t="s">
        <v>327</v>
      </c>
      <c r="B402" s="3">
        <f>SUM(B403:B421)</f>
        <v>14923</v>
      </c>
      <c r="C402" s="75">
        <f>SUM(C403:C421)</f>
        <v>15306</v>
      </c>
      <c r="D402" s="3">
        <f>SUM(D403:D421)</f>
        <v>13875</v>
      </c>
      <c r="E402" s="21">
        <f t="shared" si="19"/>
        <v>7.5531531531531524</v>
      </c>
      <c r="F402" s="21">
        <f t="shared" si="20"/>
        <v>97.49771331503986</v>
      </c>
    </row>
    <row r="403" spans="1:7" ht="20.25" customHeight="1">
      <c r="A403" s="3" t="s">
        <v>34</v>
      </c>
      <c r="B403" s="3">
        <v>558</v>
      </c>
      <c r="C403" s="75">
        <v>560</v>
      </c>
      <c r="D403" s="3">
        <v>435</v>
      </c>
      <c r="E403" s="21">
        <f t="shared" si="19"/>
        <v>28.27586206896552</v>
      </c>
      <c r="F403" s="21">
        <f t="shared" si="20"/>
        <v>99.642857142857139</v>
      </c>
    </row>
    <row r="404" spans="1:7" ht="20.25" customHeight="1">
      <c r="A404" s="3" t="s">
        <v>328</v>
      </c>
      <c r="B404" s="3">
        <v>5621</v>
      </c>
      <c r="C404" s="75">
        <v>5800</v>
      </c>
      <c r="D404" s="3">
        <v>4188</v>
      </c>
      <c r="E404" s="21">
        <f t="shared" si="19"/>
        <v>34.216809933142315</v>
      </c>
      <c r="F404" s="21">
        <f t="shared" si="20"/>
        <v>96.91379310344827</v>
      </c>
    </row>
    <row r="405" spans="1:7" ht="20.25" customHeight="1">
      <c r="A405" s="3" t="s">
        <v>329</v>
      </c>
      <c r="B405" s="3">
        <v>1129</v>
      </c>
      <c r="C405" s="75">
        <v>1129</v>
      </c>
      <c r="D405" s="3">
        <v>1570</v>
      </c>
      <c r="E405" s="21">
        <f t="shared" si="19"/>
        <v>-28.089171974522291</v>
      </c>
      <c r="F405" s="21">
        <f t="shared" si="20"/>
        <v>100</v>
      </c>
      <c r="G405">
        <v>1727</v>
      </c>
    </row>
    <row r="406" spans="1:7" ht="20.25" customHeight="1">
      <c r="A406" s="3" t="s">
        <v>330</v>
      </c>
      <c r="B406" s="3"/>
      <c r="C406" s="75"/>
      <c r="D406" s="3">
        <v>110</v>
      </c>
      <c r="E406" s="21">
        <f t="shared" si="19"/>
        <v>-100</v>
      </c>
      <c r="F406" s="21" t="e">
        <f t="shared" si="20"/>
        <v>#DIV/0!</v>
      </c>
      <c r="G406">
        <v>86</v>
      </c>
    </row>
    <row r="407" spans="1:7" ht="20.25" customHeight="1">
      <c r="A407" s="3" t="s">
        <v>612</v>
      </c>
      <c r="B407" s="3"/>
      <c r="C407" s="75"/>
      <c r="D407" s="3">
        <v>299</v>
      </c>
      <c r="E407" s="21">
        <f t="shared" si="19"/>
        <v>-100</v>
      </c>
      <c r="F407" s="21" t="e">
        <f t="shared" si="20"/>
        <v>#DIV/0!</v>
      </c>
      <c r="G407">
        <v>14</v>
      </c>
    </row>
    <row r="408" spans="1:7" ht="20.25" customHeight="1">
      <c r="A408" s="3" t="s">
        <v>613</v>
      </c>
      <c r="B408" s="3">
        <v>4997</v>
      </c>
      <c r="C408" s="75">
        <v>4997</v>
      </c>
      <c r="D408" s="3">
        <v>3959</v>
      </c>
      <c r="E408" s="21">
        <f t="shared" si="19"/>
        <v>26.218742106592575</v>
      </c>
      <c r="F408" s="21">
        <f t="shared" si="20"/>
        <v>100</v>
      </c>
      <c r="G408">
        <v>3708</v>
      </c>
    </row>
    <row r="409" spans="1:7" ht="20.25" customHeight="1">
      <c r="A409" s="3" t="s">
        <v>331</v>
      </c>
      <c r="B409" s="3">
        <v>95</v>
      </c>
      <c r="C409" s="75">
        <f>70+30</f>
        <v>100</v>
      </c>
      <c r="D409" s="3">
        <v>90</v>
      </c>
      <c r="E409" s="21">
        <f t="shared" si="19"/>
        <v>5.5555555555555554</v>
      </c>
      <c r="F409" s="21">
        <f t="shared" si="20"/>
        <v>95</v>
      </c>
    </row>
    <row r="410" spans="1:7" ht="20.25" customHeight="1">
      <c r="A410" s="3" t="s">
        <v>332</v>
      </c>
      <c r="B410" s="3"/>
      <c r="C410" s="75"/>
      <c r="D410" s="3"/>
      <c r="E410" s="21" t="e">
        <f t="shared" si="19"/>
        <v>#DIV/0!</v>
      </c>
      <c r="F410" s="21" t="e">
        <f t="shared" si="20"/>
        <v>#DIV/0!</v>
      </c>
    </row>
    <row r="411" spans="1:7" ht="20.25" customHeight="1">
      <c r="A411" s="3" t="s">
        <v>614</v>
      </c>
      <c r="B411" s="3"/>
      <c r="C411" s="75"/>
      <c r="D411" s="3"/>
      <c r="E411" s="21" t="e">
        <f t="shared" si="19"/>
        <v>#DIV/0!</v>
      </c>
      <c r="F411" s="21" t="e">
        <f t="shared" si="20"/>
        <v>#DIV/0!</v>
      </c>
    </row>
    <row r="412" spans="1:7" ht="20.25" customHeight="1">
      <c r="A412" s="3" t="s">
        <v>615</v>
      </c>
      <c r="B412" s="3">
        <v>394</v>
      </c>
      <c r="C412" s="75">
        <f>400+81</f>
        <v>481</v>
      </c>
      <c r="D412" s="3">
        <v>215</v>
      </c>
      <c r="E412" s="21">
        <f t="shared" si="19"/>
        <v>83.255813953488371</v>
      </c>
      <c r="F412" s="21">
        <f t="shared" si="20"/>
        <v>81.912681912681919</v>
      </c>
      <c r="G412">
        <v>20</v>
      </c>
    </row>
    <row r="413" spans="1:7" ht="20.25" customHeight="1">
      <c r="A413" s="3" t="s">
        <v>333</v>
      </c>
      <c r="B413" s="3"/>
      <c r="C413" s="75"/>
      <c r="D413" s="3"/>
      <c r="E413" s="21" t="e">
        <f t="shared" si="19"/>
        <v>#DIV/0!</v>
      </c>
      <c r="F413" s="21" t="e">
        <f t="shared" si="20"/>
        <v>#DIV/0!</v>
      </c>
    </row>
    <row r="414" spans="1:7" ht="20.25" customHeight="1">
      <c r="A414" s="3" t="s">
        <v>616</v>
      </c>
      <c r="B414" s="3"/>
      <c r="C414" s="75"/>
      <c r="D414" s="3"/>
      <c r="E414" s="21" t="e">
        <f t="shared" si="19"/>
        <v>#DIV/0!</v>
      </c>
      <c r="F414" s="21" t="e">
        <f t="shared" si="20"/>
        <v>#DIV/0!</v>
      </c>
    </row>
    <row r="415" spans="1:7" ht="20.25" customHeight="1">
      <c r="A415" s="3" t="s">
        <v>334</v>
      </c>
      <c r="B415" s="3"/>
      <c r="C415" s="75"/>
      <c r="D415" s="3"/>
      <c r="E415" s="21" t="e">
        <f t="shared" si="19"/>
        <v>#DIV/0!</v>
      </c>
      <c r="F415" s="21" t="e">
        <f t="shared" si="20"/>
        <v>#DIV/0!</v>
      </c>
    </row>
    <row r="416" spans="1:7" ht="20.25" customHeight="1">
      <c r="A416" s="3" t="s">
        <v>335</v>
      </c>
      <c r="B416" s="3"/>
      <c r="C416" s="75"/>
      <c r="D416" s="3"/>
      <c r="E416" s="21" t="e">
        <f t="shared" si="19"/>
        <v>#DIV/0!</v>
      </c>
      <c r="F416" s="21" t="e">
        <f t="shared" si="20"/>
        <v>#DIV/0!</v>
      </c>
    </row>
    <row r="417" spans="1:7" ht="20.25" customHeight="1">
      <c r="A417" s="3" t="s">
        <v>617</v>
      </c>
      <c r="B417" s="3"/>
      <c r="C417" s="75"/>
      <c r="D417" s="3">
        <v>1231</v>
      </c>
      <c r="E417" s="21">
        <f t="shared" si="19"/>
        <v>-100</v>
      </c>
      <c r="F417" s="21" t="e">
        <f t="shared" si="20"/>
        <v>#DIV/0!</v>
      </c>
      <c r="G417">
        <v>28</v>
      </c>
    </row>
    <row r="418" spans="1:7" ht="20.25" customHeight="1">
      <c r="A418" s="3" t="s">
        <v>336</v>
      </c>
      <c r="B418" s="3"/>
      <c r="C418" s="75"/>
      <c r="D418" s="3"/>
      <c r="E418" s="21" t="e">
        <f t="shared" si="19"/>
        <v>#DIV/0!</v>
      </c>
      <c r="F418" s="21" t="e">
        <f t="shared" si="20"/>
        <v>#DIV/0!</v>
      </c>
    </row>
    <row r="419" spans="1:7" ht="20.25" customHeight="1">
      <c r="A419" s="3" t="s">
        <v>337</v>
      </c>
      <c r="B419" s="3">
        <f>929-16</f>
        <v>913</v>
      </c>
      <c r="C419" s="75">
        <f>773+250</f>
        <v>1023</v>
      </c>
      <c r="D419" s="3">
        <v>742</v>
      </c>
      <c r="E419" s="21">
        <f t="shared" si="19"/>
        <v>23.045822102425877</v>
      </c>
      <c r="F419" s="21">
        <f t="shared" si="20"/>
        <v>89.247311827956992</v>
      </c>
      <c r="G419">
        <v>57</v>
      </c>
    </row>
    <row r="420" spans="1:7" ht="20.25" customHeight="1">
      <c r="A420" s="3" t="s">
        <v>338</v>
      </c>
      <c r="B420" s="3"/>
      <c r="C420" s="75"/>
      <c r="D420" s="3"/>
      <c r="E420" s="21" t="e">
        <f t="shared" si="19"/>
        <v>#DIV/0!</v>
      </c>
      <c r="F420" s="21" t="e">
        <f t="shared" si="20"/>
        <v>#DIV/0!</v>
      </c>
    </row>
    <row r="421" spans="1:7" ht="20.25" customHeight="1">
      <c r="A421" s="3" t="s">
        <v>339</v>
      </c>
      <c r="B421" s="3">
        <v>1216</v>
      </c>
      <c r="C421" s="75">
        <v>1216</v>
      </c>
      <c r="D421" s="3">
        <v>1036</v>
      </c>
      <c r="E421" s="21">
        <f t="shared" si="19"/>
        <v>17.374517374517374</v>
      </c>
      <c r="F421" s="21">
        <f t="shared" si="20"/>
        <v>100</v>
      </c>
      <c r="G421">
        <v>1724</v>
      </c>
    </row>
    <row r="422" spans="1:7" ht="20.25" customHeight="1">
      <c r="A422" s="3" t="s">
        <v>340</v>
      </c>
      <c r="B422" s="3">
        <f>SUM(B423:B439)</f>
        <v>13240</v>
      </c>
      <c r="C422" s="75">
        <f>SUM(C423:C439)</f>
        <v>14181</v>
      </c>
      <c r="D422" s="3">
        <f>SUM(D423:D439)</f>
        <v>6202</v>
      </c>
      <c r="E422" s="21">
        <f t="shared" si="19"/>
        <v>113.47952273460173</v>
      </c>
      <c r="F422" s="21">
        <f t="shared" si="20"/>
        <v>93.364360764403074</v>
      </c>
    </row>
    <row r="423" spans="1:7" ht="20.25" customHeight="1">
      <c r="A423" s="3" t="s">
        <v>34</v>
      </c>
      <c r="B423" s="3">
        <v>77</v>
      </c>
      <c r="C423" s="75">
        <v>80</v>
      </c>
      <c r="D423" s="3">
        <v>73</v>
      </c>
      <c r="E423" s="21">
        <f t="shared" si="19"/>
        <v>5.4794520547945202</v>
      </c>
      <c r="F423" s="21">
        <f t="shared" si="20"/>
        <v>96.25</v>
      </c>
    </row>
    <row r="424" spans="1:7" ht="20.25" customHeight="1">
      <c r="A424" s="3" t="s">
        <v>35</v>
      </c>
      <c r="B424" s="3"/>
      <c r="C424" s="75"/>
      <c r="D424" s="3"/>
      <c r="E424" s="21" t="e">
        <f t="shared" si="19"/>
        <v>#DIV/0!</v>
      </c>
      <c r="F424" s="21" t="e">
        <f t="shared" si="20"/>
        <v>#DIV/0!</v>
      </c>
    </row>
    <row r="425" spans="1:7" ht="20.25" customHeight="1">
      <c r="A425" s="3" t="s">
        <v>341</v>
      </c>
      <c r="B425" s="3">
        <v>661</v>
      </c>
      <c r="C425" s="75">
        <f>36+700</f>
        <v>736</v>
      </c>
      <c r="D425" s="3">
        <v>642</v>
      </c>
      <c r="E425" s="21">
        <f t="shared" si="19"/>
        <v>2.9595015576323989</v>
      </c>
      <c r="F425" s="21">
        <f t="shared" si="20"/>
        <v>89.809782608695656</v>
      </c>
      <c r="G425">
        <v>12</v>
      </c>
    </row>
    <row r="426" spans="1:7" ht="20.25" customHeight="1">
      <c r="A426" s="3" t="s">
        <v>342</v>
      </c>
      <c r="B426" s="3">
        <v>5400</v>
      </c>
      <c r="C426" s="75">
        <v>5850</v>
      </c>
      <c r="D426" s="3"/>
      <c r="E426" s="21" t="e">
        <f t="shared" si="19"/>
        <v>#DIV/0!</v>
      </c>
      <c r="F426" s="21">
        <f t="shared" si="20"/>
        <v>92.307692307692307</v>
      </c>
      <c r="G426">
        <v>179</v>
      </c>
    </row>
    <row r="427" spans="1:7" ht="20.25" customHeight="1">
      <c r="A427" s="3" t="s">
        <v>343</v>
      </c>
      <c r="B427" s="3">
        <f>9018-8381</f>
        <v>637</v>
      </c>
      <c r="C427" s="75">
        <f>153+6404-5773</f>
        <v>784</v>
      </c>
      <c r="D427" s="3">
        <v>488</v>
      </c>
      <c r="E427" s="21">
        <f t="shared" si="19"/>
        <v>30.532786885245898</v>
      </c>
      <c r="F427" s="21">
        <f t="shared" si="20"/>
        <v>81.25</v>
      </c>
      <c r="G427">
        <v>790</v>
      </c>
    </row>
    <row r="428" spans="1:7" ht="20.25" customHeight="1">
      <c r="A428" s="3" t="s">
        <v>344</v>
      </c>
      <c r="B428" s="3">
        <v>19</v>
      </c>
      <c r="C428" s="75">
        <v>19</v>
      </c>
      <c r="D428" s="3">
        <v>16</v>
      </c>
      <c r="E428" s="21">
        <f t="shared" si="19"/>
        <v>18.75</v>
      </c>
      <c r="F428" s="21">
        <f t="shared" si="20"/>
        <v>100</v>
      </c>
    </row>
    <row r="429" spans="1:7" ht="20.25" customHeight="1">
      <c r="A429" s="3" t="s">
        <v>345</v>
      </c>
      <c r="B429" s="3">
        <v>391</v>
      </c>
      <c r="C429" s="75">
        <v>551</v>
      </c>
      <c r="D429" s="3">
        <v>962</v>
      </c>
      <c r="E429" s="21">
        <f t="shared" si="19"/>
        <v>-59.355509355509348</v>
      </c>
      <c r="F429" s="21">
        <f t="shared" si="20"/>
        <v>70.961887477313979</v>
      </c>
      <c r="G429">
        <v>400</v>
      </c>
    </row>
    <row r="430" spans="1:7" ht="20.25" customHeight="1">
      <c r="A430" s="3" t="s">
        <v>346</v>
      </c>
      <c r="B430" s="3"/>
      <c r="C430" s="75"/>
      <c r="D430" s="3">
        <v>61</v>
      </c>
      <c r="E430" s="21">
        <f t="shared" si="19"/>
        <v>-100</v>
      </c>
      <c r="F430" s="21" t="e">
        <f t="shared" si="20"/>
        <v>#DIV/0!</v>
      </c>
      <c r="G430">
        <v>462</v>
      </c>
    </row>
    <row r="431" spans="1:7" ht="20.25" customHeight="1">
      <c r="A431" s="3" t="s">
        <v>347</v>
      </c>
      <c r="B431" s="3">
        <v>61</v>
      </c>
      <c r="C431" s="75">
        <v>75</v>
      </c>
      <c r="D431" s="3">
        <v>865</v>
      </c>
      <c r="E431" s="21">
        <f t="shared" si="19"/>
        <v>-92.947976878612721</v>
      </c>
      <c r="F431" s="21">
        <f t="shared" si="20"/>
        <v>81.333333333333329</v>
      </c>
      <c r="G431">
        <v>2896</v>
      </c>
    </row>
    <row r="432" spans="1:7" ht="20.25" customHeight="1">
      <c r="A432" s="3" t="s">
        <v>348</v>
      </c>
      <c r="B432" s="3"/>
      <c r="C432" s="75"/>
      <c r="D432" s="3"/>
      <c r="E432" s="21" t="e">
        <f t="shared" si="19"/>
        <v>#DIV/0!</v>
      </c>
      <c r="F432" s="21" t="e">
        <f t="shared" si="20"/>
        <v>#DIV/0!</v>
      </c>
    </row>
    <row r="433" spans="1:7" ht="20.25" customHeight="1">
      <c r="A433" s="3" t="s">
        <v>349</v>
      </c>
      <c r="B433" s="3">
        <v>19</v>
      </c>
      <c r="C433" s="75">
        <v>20</v>
      </c>
      <c r="D433" s="3">
        <v>80</v>
      </c>
      <c r="E433" s="21">
        <f t="shared" si="19"/>
        <v>-76.25</v>
      </c>
      <c r="F433" s="21">
        <f t="shared" si="20"/>
        <v>95</v>
      </c>
      <c r="G433">
        <v>1192</v>
      </c>
    </row>
    <row r="434" spans="1:7" ht="20.25" customHeight="1">
      <c r="A434" s="3" t="s">
        <v>350</v>
      </c>
      <c r="B434" s="3"/>
      <c r="C434" s="75"/>
      <c r="D434" s="3"/>
      <c r="E434" s="21" t="e">
        <f t="shared" si="19"/>
        <v>#DIV/0!</v>
      </c>
      <c r="F434" s="21" t="e">
        <f t="shared" si="20"/>
        <v>#DIV/0!</v>
      </c>
    </row>
    <row r="435" spans="1:7" ht="20.25" customHeight="1">
      <c r="A435" s="3" t="s">
        <v>351</v>
      </c>
      <c r="B435" s="3">
        <v>114</v>
      </c>
      <c r="C435" s="75">
        <v>186</v>
      </c>
      <c r="D435" s="3">
        <v>347</v>
      </c>
      <c r="E435" s="21">
        <f t="shared" si="19"/>
        <v>-67.146974063400577</v>
      </c>
      <c r="F435" s="21">
        <f t="shared" si="20"/>
        <v>61.29032258064516</v>
      </c>
    </row>
    <row r="436" spans="1:7" ht="20.25" customHeight="1">
      <c r="A436" s="3" t="s">
        <v>352</v>
      </c>
      <c r="B436" s="3"/>
      <c r="C436" s="75"/>
      <c r="D436" s="3"/>
      <c r="E436" s="21" t="e">
        <f t="shared" si="19"/>
        <v>#DIV/0!</v>
      </c>
      <c r="F436" s="21" t="e">
        <f t="shared" si="20"/>
        <v>#DIV/0!</v>
      </c>
    </row>
    <row r="437" spans="1:7" ht="20.25" customHeight="1">
      <c r="A437" s="3" t="s">
        <v>353</v>
      </c>
      <c r="B437" s="3"/>
      <c r="C437" s="75"/>
      <c r="D437" s="3"/>
      <c r="E437" s="21" t="e">
        <f t="shared" si="19"/>
        <v>#DIV/0!</v>
      </c>
      <c r="F437" s="21" t="e">
        <f t="shared" si="20"/>
        <v>#DIV/0!</v>
      </c>
    </row>
    <row r="438" spans="1:7" ht="20.25" customHeight="1">
      <c r="A438" s="3" t="s">
        <v>354</v>
      </c>
      <c r="B438" s="3">
        <v>5188</v>
      </c>
      <c r="C438" s="75">
        <f>188+5000</f>
        <v>5188</v>
      </c>
      <c r="D438" s="3">
        <v>2619</v>
      </c>
      <c r="E438" s="21">
        <f t="shared" si="19"/>
        <v>98.090874379534171</v>
      </c>
      <c r="F438" s="21">
        <f t="shared" si="20"/>
        <v>100</v>
      </c>
      <c r="G438">
        <v>370</v>
      </c>
    </row>
    <row r="439" spans="1:7" ht="20.25" customHeight="1">
      <c r="A439" s="3" t="s">
        <v>355</v>
      </c>
      <c r="B439" s="3">
        <f>684-11</f>
        <v>673</v>
      </c>
      <c r="C439" s="75">
        <v>692</v>
      </c>
      <c r="D439" s="3">
        <v>49</v>
      </c>
      <c r="E439" s="21">
        <f t="shared" si="19"/>
        <v>1273.4693877551019</v>
      </c>
      <c r="F439" s="21">
        <f t="shared" si="20"/>
        <v>97.25433526011561</v>
      </c>
    </row>
    <row r="440" spans="1:7" ht="20.25" customHeight="1">
      <c r="A440" s="3" t="s">
        <v>356</v>
      </c>
      <c r="B440" s="3">
        <f>SUM(B441:B446)</f>
        <v>3430</v>
      </c>
      <c r="C440" s="75">
        <f>SUM(C441:C446)</f>
        <v>4906</v>
      </c>
      <c r="D440" s="3">
        <f>SUM(D441:D446)</f>
        <v>7863</v>
      </c>
      <c r="E440" s="21">
        <f t="shared" si="19"/>
        <v>-56.377972783924712</v>
      </c>
      <c r="F440" s="21">
        <f t="shared" si="20"/>
        <v>69.914390542193232</v>
      </c>
    </row>
    <row r="441" spans="1:7" ht="20.25" customHeight="1">
      <c r="A441" s="3" t="s">
        <v>34</v>
      </c>
      <c r="B441" s="3"/>
      <c r="C441" s="75"/>
      <c r="D441" s="3"/>
      <c r="E441" s="21" t="e">
        <f t="shared" si="19"/>
        <v>#DIV/0!</v>
      </c>
      <c r="F441" s="21" t="e">
        <f t="shared" si="20"/>
        <v>#DIV/0!</v>
      </c>
    </row>
    <row r="442" spans="1:7" ht="20.25" customHeight="1">
      <c r="A442" s="3" t="s">
        <v>35</v>
      </c>
      <c r="B442" s="3"/>
      <c r="C442" s="75"/>
      <c r="D442" s="3"/>
      <c r="E442" s="21" t="e">
        <f t="shared" si="19"/>
        <v>#DIV/0!</v>
      </c>
      <c r="F442" s="21" t="e">
        <f t="shared" si="20"/>
        <v>#DIV/0!</v>
      </c>
    </row>
    <row r="443" spans="1:7" ht="20.25" customHeight="1">
      <c r="A443" s="3" t="s">
        <v>618</v>
      </c>
      <c r="B443" s="3"/>
      <c r="C443" s="75">
        <v>18</v>
      </c>
      <c r="D443" s="3"/>
      <c r="E443" s="21" t="e">
        <f t="shared" si="19"/>
        <v>#DIV/0!</v>
      </c>
      <c r="F443" s="21">
        <f t="shared" si="20"/>
        <v>0</v>
      </c>
    </row>
    <row r="444" spans="1:7" ht="20.25" customHeight="1">
      <c r="A444" s="3" t="s">
        <v>619</v>
      </c>
      <c r="B444" s="3">
        <v>1598</v>
      </c>
      <c r="C444" s="75">
        <v>1636</v>
      </c>
      <c r="D444" s="3"/>
      <c r="E444" s="21" t="e">
        <f t="shared" si="19"/>
        <v>#DIV/0!</v>
      </c>
      <c r="F444" s="21">
        <f t="shared" si="20"/>
        <v>97.67726161369194</v>
      </c>
      <c r="G444">
        <v>25</v>
      </c>
    </row>
    <row r="445" spans="1:7" ht="20.25" customHeight="1">
      <c r="A445" s="3" t="s">
        <v>357</v>
      </c>
      <c r="B445" s="3"/>
      <c r="C445" s="75"/>
      <c r="D445" s="3"/>
      <c r="E445" s="21" t="e">
        <f t="shared" si="19"/>
        <v>#DIV/0!</v>
      </c>
      <c r="F445" s="21" t="e">
        <f t="shared" si="20"/>
        <v>#DIV/0!</v>
      </c>
    </row>
    <row r="446" spans="1:7" ht="20.25" customHeight="1">
      <c r="A446" s="3" t="s">
        <v>620</v>
      </c>
      <c r="B446" s="3">
        <f>1833-1</f>
        <v>1832</v>
      </c>
      <c r="C446" s="75">
        <f>898+1367+987</f>
        <v>3252</v>
      </c>
      <c r="D446" s="3">
        <v>7863</v>
      </c>
      <c r="E446" s="21">
        <f t="shared" si="19"/>
        <v>-76.701004705583102</v>
      </c>
      <c r="F446" s="21">
        <f t="shared" si="20"/>
        <v>56.334563345633462</v>
      </c>
      <c r="G446">
        <v>3349</v>
      </c>
    </row>
    <row r="447" spans="1:7" ht="20.25" customHeight="1">
      <c r="A447" s="3" t="s">
        <v>358</v>
      </c>
      <c r="B447" s="3">
        <f>SUM(B448:B451)</f>
        <v>0</v>
      </c>
      <c r="C447" s="75">
        <f>SUM(C448:C451)</f>
        <v>0</v>
      </c>
      <c r="D447" s="3">
        <f>SUM(D448:D451)</f>
        <v>0</v>
      </c>
      <c r="E447" s="21" t="e">
        <f t="shared" si="19"/>
        <v>#DIV/0!</v>
      </c>
      <c r="F447" s="21" t="e">
        <f t="shared" si="20"/>
        <v>#DIV/0!</v>
      </c>
    </row>
    <row r="448" spans="1:7" ht="20.25" customHeight="1">
      <c r="A448" s="3" t="s">
        <v>144</v>
      </c>
      <c r="B448" s="3"/>
      <c r="C448" s="75"/>
      <c r="D448" s="3"/>
      <c r="E448" s="21" t="e">
        <f t="shared" si="19"/>
        <v>#DIV/0!</v>
      </c>
      <c r="F448" s="21" t="e">
        <f t="shared" si="20"/>
        <v>#DIV/0!</v>
      </c>
    </row>
    <row r="449" spans="1:7" ht="20.25" customHeight="1">
      <c r="A449" s="3" t="s">
        <v>621</v>
      </c>
      <c r="B449" s="3"/>
      <c r="C449" s="75"/>
      <c r="D449" s="3"/>
      <c r="E449" s="21" t="e">
        <f t="shared" si="19"/>
        <v>#DIV/0!</v>
      </c>
      <c r="F449" s="21" t="e">
        <f t="shared" si="20"/>
        <v>#DIV/0!</v>
      </c>
      <c r="G449">
        <v>1484</v>
      </c>
    </row>
    <row r="450" spans="1:7" ht="20.25" customHeight="1">
      <c r="A450" s="3" t="s">
        <v>359</v>
      </c>
      <c r="B450" s="3"/>
      <c r="C450" s="75"/>
      <c r="D450" s="3"/>
      <c r="E450" s="21" t="e">
        <f t="shared" si="19"/>
        <v>#DIV/0!</v>
      </c>
      <c r="F450" s="21" t="e">
        <f t="shared" si="20"/>
        <v>#DIV/0!</v>
      </c>
      <c r="G450">
        <v>1194</v>
      </c>
    </row>
    <row r="451" spans="1:7" ht="20.25" customHeight="1">
      <c r="A451" s="3" t="s">
        <v>622</v>
      </c>
      <c r="B451" s="3"/>
      <c r="C451" s="75"/>
      <c r="D451" s="3"/>
      <c r="E451" s="21" t="e">
        <f t="shared" si="19"/>
        <v>#DIV/0!</v>
      </c>
      <c r="F451" s="21" t="e">
        <f t="shared" si="20"/>
        <v>#DIV/0!</v>
      </c>
    </row>
    <row r="452" spans="1:7" ht="20.25" customHeight="1">
      <c r="A452" s="3" t="s">
        <v>360</v>
      </c>
      <c r="B452" s="3">
        <f>SUM(B453:B458)</f>
        <v>6966</v>
      </c>
      <c r="C452" s="75">
        <f>SUM(C453:C458)</f>
        <v>6536</v>
      </c>
      <c r="D452" s="3">
        <f>SUM(D453:D458)</f>
        <v>6300</v>
      </c>
      <c r="E452" s="21">
        <f t="shared" si="19"/>
        <v>10.571428571428571</v>
      </c>
      <c r="F452" s="21">
        <f t="shared" si="20"/>
        <v>106.57894736842107</v>
      </c>
    </row>
    <row r="453" spans="1:7" ht="20.25" customHeight="1">
      <c r="A453" s="3" t="s">
        <v>644</v>
      </c>
      <c r="B453" s="3">
        <f>4918-360</f>
        <v>4558</v>
      </c>
      <c r="C453" s="75">
        <f>4268+360</f>
        <v>4628</v>
      </c>
      <c r="D453" s="3">
        <v>3792</v>
      </c>
      <c r="E453" s="21">
        <f t="shared" si="19"/>
        <v>20.200421940928269</v>
      </c>
      <c r="F453" s="21">
        <f t="shared" si="20"/>
        <v>98.487467588591187</v>
      </c>
      <c r="G453">
        <v>3756</v>
      </c>
    </row>
    <row r="454" spans="1:7" ht="20.25" customHeight="1">
      <c r="A454" s="3" t="s">
        <v>623</v>
      </c>
      <c r="B454" s="3"/>
      <c r="C454" s="75"/>
      <c r="D454" s="3"/>
      <c r="E454" s="21" t="e">
        <f t="shared" ref="E454:E517" si="21">(B454-D454)/D454*100</f>
        <v>#DIV/0!</v>
      </c>
      <c r="F454" s="21" t="e">
        <f t="shared" ref="F454:F517" si="22">B454/C454*100</f>
        <v>#DIV/0!</v>
      </c>
    </row>
    <row r="455" spans="1:7" ht="20.25" customHeight="1">
      <c r="A455" s="3" t="s">
        <v>361</v>
      </c>
      <c r="B455" s="3">
        <f>2238-1807</f>
        <v>431</v>
      </c>
      <c r="C455" s="75">
        <f>1970-1881</f>
        <v>89</v>
      </c>
      <c r="D455" s="3">
        <v>569</v>
      </c>
      <c r="E455" s="21">
        <f t="shared" si="21"/>
        <v>-24.253075571177504</v>
      </c>
      <c r="F455" s="21">
        <f t="shared" si="22"/>
        <v>484.2696629213483</v>
      </c>
    </row>
    <row r="456" spans="1:7" ht="20.25" customHeight="1">
      <c r="A456" s="3" t="s">
        <v>362</v>
      </c>
      <c r="B456" s="3">
        <f>1352-15</f>
        <v>1337</v>
      </c>
      <c r="C456" s="75">
        <v>1260</v>
      </c>
      <c r="D456" s="3">
        <v>1150</v>
      </c>
      <c r="E456" s="21">
        <f t="shared" si="21"/>
        <v>16.260869565217391</v>
      </c>
      <c r="F456" s="21">
        <f t="shared" si="22"/>
        <v>106.11111111111111</v>
      </c>
    </row>
    <row r="457" spans="1:7" ht="20.25" customHeight="1">
      <c r="A457" s="3" t="s">
        <v>624</v>
      </c>
      <c r="B457" s="3">
        <v>704</v>
      </c>
      <c r="C457" s="75">
        <v>623</v>
      </c>
      <c r="D457" s="3">
        <v>725</v>
      </c>
      <c r="E457" s="21">
        <f t="shared" si="21"/>
        <v>-2.896551724137931</v>
      </c>
      <c r="F457" s="21">
        <f t="shared" si="22"/>
        <v>113.00160513643659</v>
      </c>
      <c r="G457">
        <v>582</v>
      </c>
    </row>
    <row r="458" spans="1:7" ht="20.25" customHeight="1">
      <c r="A458" s="3" t="s">
        <v>363</v>
      </c>
      <c r="B458" s="3">
        <v>-64</v>
      </c>
      <c r="C458" s="75">
        <v>-64</v>
      </c>
      <c r="D458" s="3">
        <v>64</v>
      </c>
      <c r="E458" s="21">
        <f t="shared" si="21"/>
        <v>-200</v>
      </c>
      <c r="F458" s="21">
        <f t="shared" si="22"/>
        <v>100</v>
      </c>
      <c r="G458">
        <v>1154</v>
      </c>
    </row>
    <row r="459" spans="1:7" ht="20.25" customHeight="1">
      <c r="A459" s="3" t="s">
        <v>364</v>
      </c>
      <c r="B459" s="3">
        <f>SUM(B460:B465)</f>
        <v>4422</v>
      </c>
      <c r="C459" s="75">
        <f>SUM(C460:C465)</f>
        <v>4542</v>
      </c>
      <c r="D459" s="3">
        <f>SUM(D460:D465)</f>
        <v>4101</v>
      </c>
      <c r="E459" s="21">
        <f t="shared" si="21"/>
        <v>7.8273591806876377</v>
      </c>
      <c r="F459" s="21">
        <f t="shared" si="22"/>
        <v>97.35799207397622</v>
      </c>
    </row>
    <row r="460" spans="1:7" ht="20.25" customHeight="1">
      <c r="A460" s="3" t="s">
        <v>365</v>
      </c>
      <c r="B460" s="3"/>
      <c r="C460" s="75"/>
      <c r="D460" s="3"/>
      <c r="E460" s="21" t="e">
        <f t="shared" si="21"/>
        <v>#DIV/0!</v>
      </c>
      <c r="F460" s="21" t="e">
        <f t="shared" si="22"/>
        <v>#DIV/0!</v>
      </c>
    </row>
    <row r="461" spans="1:7" ht="20.25" customHeight="1">
      <c r="A461" s="3" t="s">
        <v>366</v>
      </c>
      <c r="B461" s="3"/>
      <c r="C461" s="75"/>
      <c r="D461" s="3"/>
      <c r="E461" s="21" t="e">
        <f t="shared" si="21"/>
        <v>#DIV/0!</v>
      </c>
      <c r="F461" s="21" t="e">
        <f t="shared" si="22"/>
        <v>#DIV/0!</v>
      </c>
      <c r="G461">
        <v>6</v>
      </c>
    </row>
    <row r="462" spans="1:7" ht="20.25" customHeight="1">
      <c r="A462" s="3" t="s">
        <v>367</v>
      </c>
      <c r="B462" s="3">
        <v>3313</v>
      </c>
      <c r="C462" s="75">
        <v>3090</v>
      </c>
      <c r="D462" s="3">
        <v>3749</v>
      </c>
      <c r="E462" s="21">
        <f t="shared" si="21"/>
        <v>-11.629767938116832</v>
      </c>
      <c r="F462" s="21">
        <f t="shared" si="22"/>
        <v>107.21682847896442</v>
      </c>
    </row>
    <row r="463" spans="1:7" ht="20.25" customHeight="1">
      <c r="A463" s="3" t="s">
        <v>368</v>
      </c>
      <c r="B463" s="3">
        <v>985</v>
      </c>
      <c r="C463" s="75">
        <v>1135</v>
      </c>
      <c r="D463" s="3">
        <v>291</v>
      </c>
      <c r="E463" s="21">
        <f t="shared" si="21"/>
        <v>238.48797250859107</v>
      </c>
      <c r="F463" s="21">
        <f t="shared" si="22"/>
        <v>86.784140969162991</v>
      </c>
      <c r="G463">
        <v>579</v>
      </c>
    </row>
    <row r="464" spans="1:7" ht="20.25" customHeight="1">
      <c r="A464" s="3" t="s">
        <v>369</v>
      </c>
      <c r="B464" s="3">
        <v>124</v>
      </c>
      <c r="C464" s="75">
        <f>261+56</f>
        <v>317</v>
      </c>
      <c r="D464" s="3"/>
      <c r="E464" s="21" t="e">
        <f t="shared" si="21"/>
        <v>#DIV/0!</v>
      </c>
      <c r="F464" s="21">
        <f t="shared" si="22"/>
        <v>39.116719242902207</v>
      </c>
    </row>
    <row r="465" spans="1:7" ht="20.25" customHeight="1">
      <c r="A465" s="3" t="s">
        <v>370</v>
      </c>
      <c r="B465" s="3"/>
      <c r="C465" s="75"/>
      <c r="D465" s="3">
        <v>61</v>
      </c>
      <c r="E465" s="21">
        <f t="shared" si="21"/>
        <v>-100</v>
      </c>
      <c r="F465" s="21" t="e">
        <f t="shared" si="22"/>
        <v>#DIV/0!</v>
      </c>
      <c r="G465">
        <v>100</v>
      </c>
    </row>
    <row r="466" spans="1:7" ht="20.25" customHeight="1">
      <c r="A466" s="3" t="s">
        <v>371</v>
      </c>
      <c r="B466" s="3">
        <f>B467</f>
        <v>4497</v>
      </c>
      <c r="C466" s="75">
        <f>C467</f>
        <v>4497</v>
      </c>
      <c r="D466" s="3">
        <f>D467</f>
        <v>4508</v>
      </c>
      <c r="E466" s="21">
        <f t="shared" si="21"/>
        <v>-0.24401064773735581</v>
      </c>
      <c r="F466" s="21">
        <f t="shared" si="22"/>
        <v>100</v>
      </c>
    </row>
    <row r="467" spans="1:7" ht="20.25" customHeight="1">
      <c r="A467" s="3" t="s">
        <v>645</v>
      </c>
      <c r="B467" s="3">
        <v>4497</v>
      </c>
      <c r="C467" s="75">
        <v>4497</v>
      </c>
      <c r="D467" s="3">
        <v>4508</v>
      </c>
      <c r="E467" s="21">
        <f t="shared" si="21"/>
        <v>-0.24401064773735581</v>
      </c>
      <c r="F467" s="21">
        <f t="shared" si="22"/>
        <v>100</v>
      </c>
    </row>
    <row r="468" spans="1:7" ht="20.25" customHeight="1">
      <c r="A468" s="3" t="s">
        <v>372</v>
      </c>
      <c r="B468" s="3">
        <f>B469</f>
        <v>0</v>
      </c>
      <c r="C468" s="75">
        <f>C469</f>
        <v>0</v>
      </c>
      <c r="D468" s="3">
        <f>D469</f>
        <v>47</v>
      </c>
      <c r="E468" s="21">
        <f t="shared" si="21"/>
        <v>-100</v>
      </c>
      <c r="F468" s="21" t="e">
        <f t="shared" si="22"/>
        <v>#DIV/0!</v>
      </c>
    </row>
    <row r="469" spans="1:7" ht="20.25" customHeight="1">
      <c r="A469" s="3" t="s">
        <v>373</v>
      </c>
      <c r="B469" s="3"/>
      <c r="C469" s="75"/>
      <c r="D469" s="3">
        <v>47</v>
      </c>
      <c r="E469" s="21">
        <f t="shared" si="21"/>
        <v>-100</v>
      </c>
      <c r="F469" s="21" t="e">
        <f t="shared" si="22"/>
        <v>#DIV/0!</v>
      </c>
      <c r="G469">
        <v>12</v>
      </c>
    </row>
    <row r="470" spans="1:7" ht="20.25" customHeight="1">
      <c r="A470" s="3" t="s">
        <v>374</v>
      </c>
      <c r="B470" s="3">
        <f>B471+B479+B481+B483</f>
        <v>5767</v>
      </c>
      <c r="C470" s="75">
        <f>C471+C479+C481+C483</f>
        <v>5573</v>
      </c>
      <c r="D470" s="3">
        <f>D471+D479+D481+D483</f>
        <v>7046</v>
      </c>
      <c r="E470" s="21">
        <f t="shared" si="21"/>
        <v>-18.152143059892136</v>
      </c>
      <c r="F470" s="21">
        <f t="shared" si="22"/>
        <v>103.48106944195227</v>
      </c>
    </row>
    <row r="471" spans="1:7" ht="20.25" customHeight="1">
      <c r="A471" s="3" t="s">
        <v>375</v>
      </c>
      <c r="B471" s="3">
        <f>SUM(B472:B478)</f>
        <v>5583</v>
      </c>
      <c r="C471" s="75">
        <f>SUM(C472:C478)</f>
        <v>5389</v>
      </c>
      <c r="D471" s="3">
        <f>SUM(D472:D478)</f>
        <v>6466</v>
      </c>
      <c r="E471" s="21">
        <f t="shared" si="21"/>
        <v>-13.656047015156203</v>
      </c>
      <c r="F471" s="21">
        <f t="shared" si="22"/>
        <v>103.5999257747263</v>
      </c>
    </row>
    <row r="472" spans="1:7" ht="20.25" customHeight="1">
      <c r="A472" s="3" t="s">
        <v>34</v>
      </c>
      <c r="B472" s="3">
        <v>100</v>
      </c>
      <c r="C472" s="75">
        <v>100</v>
      </c>
      <c r="D472" s="3">
        <v>95</v>
      </c>
      <c r="E472" s="21">
        <f t="shared" si="21"/>
        <v>5.2631578947368416</v>
      </c>
      <c r="F472" s="21">
        <f t="shared" si="22"/>
        <v>100</v>
      </c>
    </row>
    <row r="473" spans="1:7" ht="20.25" customHeight="1">
      <c r="A473" s="3" t="s">
        <v>35</v>
      </c>
      <c r="B473" s="3"/>
      <c r="C473" s="75"/>
      <c r="D473" s="3"/>
      <c r="E473" s="21" t="e">
        <f t="shared" si="21"/>
        <v>#DIV/0!</v>
      </c>
      <c r="F473" s="21" t="e">
        <f t="shared" si="22"/>
        <v>#DIV/0!</v>
      </c>
    </row>
    <row r="474" spans="1:7" ht="20.25" customHeight="1">
      <c r="A474" s="3" t="s">
        <v>376</v>
      </c>
      <c r="B474" s="3">
        <v>420</v>
      </c>
      <c r="C474" s="75">
        <v>420</v>
      </c>
      <c r="D474" s="3">
        <v>131</v>
      </c>
      <c r="E474" s="21">
        <f t="shared" si="21"/>
        <v>220.61068702290078</v>
      </c>
      <c r="F474" s="21">
        <f t="shared" si="22"/>
        <v>100</v>
      </c>
    </row>
    <row r="475" spans="1:7" ht="20.25" customHeight="1">
      <c r="A475" s="3" t="s">
        <v>377</v>
      </c>
      <c r="B475" s="3">
        <v>117</v>
      </c>
      <c r="C475" s="75"/>
      <c r="D475" s="3">
        <v>243</v>
      </c>
      <c r="E475" s="21">
        <f t="shared" si="21"/>
        <v>-51.851851851851848</v>
      </c>
      <c r="F475" s="21" t="e">
        <f t="shared" si="22"/>
        <v>#DIV/0!</v>
      </c>
    </row>
    <row r="476" spans="1:7" ht="20.25" customHeight="1">
      <c r="A476" s="3" t="s">
        <v>378</v>
      </c>
      <c r="B476" s="3">
        <f>7-5</f>
        <v>2</v>
      </c>
      <c r="C476" s="75"/>
      <c r="D476" s="3">
        <v>10</v>
      </c>
      <c r="E476" s="21">
        <f t="shared" si="21"/>
        <v>-80</v>
      </c>
      <c r="F476" s="21" t="e">
        <f t="shared" si="22"/>
        <v>#DIV/0!</v>
      </c>
    </row>
    <row r="477" spans="1:7" ht="20.25" customHeight="1">
      <c r="A477" s="3" t="s">
        <v>379</v>
      </c>
      <c r="B477" s="3"/>
      <c r="C477" s="75"/>
      <c r="D477" s="3"/>
      <c r="E477" s="21" t="e">
        <f t="shared" si="21"/>
        <v>#DIV/0!</v>
      </c>
      <c r="F477" s="21" t="e">
        <f t="shared" si="22"/>
        <v>#DIV/0!</v>
      </c>
    </row>
    <row r="478" spans="1:7" ht="20.25" customHeight="1">
      <c r="A478" s="3" t="s">
        <v>380</v>
      </c>
      <c r="B478" s="3">
        <v>4944</v>
      </c>
      <c r="C478" s="75">
        <f>4929-60</f>
        <v>4869</v>
      </c>
      <c r="D478" s="3">
        <v>5987</v>
      </c>
      <c r="E478" s="21">
        <f t="shared" si="21"/>
        <v>-17.421079004509771</v>
      </c>
      <c r="F478" s="21">
        <f t="shared" si="22"/>
        <v>101.54035736290818</v>
      </c>
      <c r="G478">
        <v>5162</v>
      </c>
    </row>
    <row r="479" spans="1:7" ht="20.25" customHeight="1">
      <c r="A479" s="3" t="s">
        <v>381</v>
      </c>
      <c r="B479" s="3">
        <f>B480</f>
        <v>0</v>
      </c>
      <c r="C479" s="75">
        <f>C480</f>
        <v>0</v>
      </c>
      <c r="D479" s="3">
        <f>D480</f>
        <v>110</v>
      </c>
      <c r="E479" s="21">
        <f t="shared" si="21"/>
        <v>-100</v>
      </c>
      <c r="F479" s="21" t="e">
        <f t="shared" si="22"/>
        <v>#DIV/0!</v>
      </c>
    </row>
    <row r="480" spans="1:7" ht="20.25" customHeight="1">
      <c r="A480" s="3" t="s">
        <v>382</v>
      </c>
      <c r="B480" s="3"/>
      <c r="C480" s="75"/>
      <c r="D480" s="3">
        <v>110</v>
      </c>
      <c r="E480" s="21">
        <f t="shared" si="21"/>
        <v>-100</v>
      </c>
      <c r="F480" s="21" t="e">
        <f t="shared" si="22"/>
        <v>#DIV/0!</v>
      </c>
    </row>
    <row r="481" spans="1:7" ht="20.25" customHeight="1">
      <c r="A481" s="3" t="s">
        <v>383</v>
      </c>
      <c r="B481" s="3">
        <f>B482</f>
        <v>184</v>
      </c>
      <c r="C481" s="75">
        <f>C482</f>
        <v>184</v>
      </c>
      <c r="D481" s="3">
        <f>D482</f>
        <v>470</v>
      </c>
      <c r="E481" s="21">
        <f t="shared" si="21"/>
        <v>-60.851063829787236</v>
      </c>
      <c r="F481" s="21">
        <f t="shared" si="22"/>
        <v>100</v>
      </c>
    </row>
    <row r="482" spans="1:7" ht="20.25" customHeight="1">
      <c r="A482" s="3" t="s">
        <v>384</v>
      </c>
      <c r="B482" s="3">
        <v>184</v>
      </c>
      <c r="C482" s="75">
        <v>184</v>
      </c>
      <c r="D482" s="3">
        <v>470</v>
      </c>
      <c r="E482" s="21">
        <f t="shared" si="21"/>
        <v>-60.851063829787236</v>
      </c>
      <c r="F482" s="21">
        <f t="shared" si="22"/>
        <v>100</v>
      </c>
      <c r="G482">
        <v>3546</v>
      </c>
    </row>
    <row r="483" spans="1:7" ht="20.25" customHeight="1">
      <c r="A483" s="3" t="s">
        <v>385</v>
      </c>
      <c r="B483" s="3">
        <f>B484</f>
        <v>0</v>
      </c>
      <c r="C483" s="75">
        <f>C484</f>
        <v>0</v>
      </c>
      <c r="D483" s="3">
        <f>D484</f>
        <v>0</v>
      </c>
      <c r="E483" s="21" t="e">
        <f t="shared" si="21"/>
        <v>#DIV/0!</v>
      </c>
      <c r="F483" s="21" t="e">
        <f t="shared" si="22"/>
        <v>#DIV/0!</v>
      </c>
    </row>
    <row r="484" spans="1:7" ht="20.25" customHeight="1">
      <c r="A484" s="3" t="s">
        <v>386</v>
      </c>
      <c r="B484" s="3"/>
      <c r="C484" s="75"/>
      <c r="D484" s="3"/>
      <c r="E484" s="21" t="e">
        <f t="shared" si="21"/>
        <v>#DIV/0!</v>
      </c>
      <c r="F484" s="21" t="e">
        <f t="shared" si="22"/>
        <v>#DIV/0!</v>
      </c>
    </row>
    <row r="485" spans="1:7" ht="20.25" customHeight="1">
      <c r="A485" s="3" t="s">
        <v>627</v>
      </c>
      <c r="B485" s="3">
        <f>B486+B488+B491+B495+B498</f>
        <v>1710</v>
      </c>
      <c r="C485" s="75">
        <f>C486+C488+C491+C495+C498</f>
        <v>378</v>
      </c>
      <c r="D485" s="3">
        <f>D486+D488+D491+D495+D498</f>
        <v>512</v>
      </c>
      <c r="E485" s="21">
        <f t="shared" si="21"/>
        <v>233.984375</v>
      </c>
      <c r="F485" s="21">
        <f t="shared" si="22"/>
        <v>452.38095238095235</v>
      </c>
    </row>
    <row r="486" spans="1:7" ht="20.25" customHeight="1">
      <c r="A486" s="3" t="s">
        <v>387</v>
      </c>
      <c r="B486" s="3">
        <f>B487</f>
        <v>0</v>
      </c>
      <c r="C486" s="75"/>
      <c r="D486" s="3">
        <f>D487</f>
        <v>0</v>
      </c>
      <c r="E486" s="21" t="e">
        <f t="shared" si="21"/>
        <v>#DIV/0!</v>
      </c>
      <c r="F486" s="21" t="e">
        <f t="shared" si="22"/>
        <v>#DIV/0!</v>
      </c>
    </row>
    <row r="487" spans="1:7" ht="20.25" customHeight="1">
      <c r="A487" s="3" t="s">
        <v>388</v>
      </c>
      <c r="B487" s="3"/>
      <c r="C487" s="75"/>
      <c r="D487" s="3"/>
      <c r="E487" s="21" t="e">
        <f t="shared" si="21"/>
        <v>#DIV/0!</v>
      </c>
      <c r="F487" s="21" t="e">
        <f t="shared" si="22"/>
        <v>#DIV/0!</v>
      </c>
    </row>
    <row r="488" spans="1:7" ht="20.25" customHeight="1">
      <c r="A488" s="3" t="s">
        <v>389</v>
      </c>
      <c r="B488" s="3">
        <f>SUM(B489:B490)</f>
        <v>104</v>
      </c>
      <c r="C488" s="75">
        <f t="shared" ref="C488:D488" si="23">SUM(C489:C490)</f>
        <v>108</v>
      </c>
      <c r="D488" s="3">
        <f t="shared" si="23"/>
        <v>106</v>
      </c>
      <c r="E488" s="21">
        <f t="shared" si="21"/>
        <v>-1.8867924528301887</v>
      </c>
      <c r="F488" s="21">
        <f t="shared" si="22"/>
        <v>96.296296296296291</v>
      </c>
    </row>
    <row r="489" spans="1:7" s="42" customFormat="1" ht="20.25" customHeight="1">
      <c r="A489" s="3" t="s">
        <v>646</v>
      </c>
      <c r="B489" s="3">
        <v>102</v>
      </c>
      <c r="C489" s="75">
        <v>105</v>
      </c>
      <c r="D489" s="3"/>
      <c r="E489" s="21" t="e">
        <f t="shared" si="21"/>
        <v>#DIV/0!</v>
      </c>
      <c r="F489" s="21">
        <f t="shared" si="22"/>
        <v>97.142857142857139</v>
      </c>
    </row>
    <row r="490" spans="1:7" ht="20.25" customHeight="1">
      <c r="A490" s="3" t="s">
        <v>390</v>
      </c>
      <c r="B490" s="3">
        <f>4-2</f>
        <v>2</v>
      </c>
      <c r="C490" s="75">
        <f>316-313</f>
        <v>3</v>
      </c>
      <c r="D490" s="3">
        <v>106</v>
      </c>
      <c r="E490" s="21">
        <f t="shared" si="21"/>
        <v>-98.113207547169807</v>
      </c>
      <c r="F490" s="21">
        <f t="shared" si="22"/>
        <v>66.666666666666657</v>
      </c>
    </row>
    <row r="491" spans="1:7" ht="20.25" customHeight="1">
      <c r="A491" s="3" t="s">
        <v>391</v>
      </c>
      <c r="B491" s="3">
        <f>SUM(B492:B494)</f>
        <v>1576</v>
      </c>
      <c r="C491" s="75">
        <f>SUM(C492:C494)</f>
        <v>270</v>
      </c>
      <c r="D491" s="3">
        <f>SUM(D492:D494)</f>
        <v>406</v>
      </c>
      <c r="E491" s="21">
        <f t="shared" si="21"/>
        <v>288.17733990147786</v>
      </c>
      <c r="F491" s="21">
        <f t="shared" si="22"/>
        <v>583.7037037037037</v>
      </c>
    </row>
    <row r="492" spans="1:7" ht="20.25" customHeight="1">
      <c r="A492" s="3" t="s">
        <v>34</v>
      </c>
      <c r="B492" s="3"/>
      <c r="C492" s="75"/>
      <c r="D492" s="3"/>
      <c r="E492" s="21" t="e">
        <f t="shared" si="21"/>
        <v>#DIV/0!</v>
      </c>
      <c r="F492" s="21" t="e">
        <f t="shared" si="22"/>
        <v>#DIV/0!</v>
      </c>
    </row>
    <row r="493" spans="1:7" ht="20.25" customHeight="1">
      <c r="A493" s="3" t="s">
        <v>35</v>
      </c>
      <c r="B493" s="3"/>
      <c r="C493" s="75"/>
      <c r="D493" s="3"/>
      <c r="E493" s="21" t="e">
        <f t="shared" si="21"/>
        <v>#DIV/0!</v>
      </c>
      <c r="F493" s="21" t="e">
        <f t="shared" si="22"/>
        <v>#DIV/0!</v>
      </c>
    </row>
    <row r="494" spans="1:7" ht="20.25" customHeight="1">
      <c r="A494" s="3" t="s">
        <v>392</v>
      </c>
      <c r="B494" s="3">
        <v>1576</v>
      </c>
      <c r="C494" s="75">
        <v>270</v>
      </c>
      <c r="D494" s="3">
        <v>406</v>
      </c>
      <c r="E494" s="21">
        <f t="shared" si="21"/>
        <v>288.17733990147786</v>
      </c>
      <c r="F494" s="21">
        <f t="shared" si="22"/>
        <v>583.7037037037037</v>
      </c>
    </row>
    <row r="495" spans="1:7" ht="20.25" customHeight="1">
      <c r="A495" s="3" t="s">
        <v>393</v>
      </c>
      <c r="B495" s="3">
        <f>SUM(B496:B497)</f>
        <v>25</v>
      </c>
      <c r="C495" s="75">
        <f>SUM(C496:C497)</f>
        <v>0</v>
      </c>
      <c r="D495" s="3">
        <f>SUM(D496:D497)</f>
        <v>0</v>
      </c>
      <c r="E495" s="21" t="e">
        <f t="shared" si="21"/>
        <v>#DIV/0!</v>
      </c>
      <c r="F495" s="21" t="e">
        <f t="shared" si="22"/>
        <v>#DIV/0!</v>
      </c>
    </row>
    <row r="496" spans="1:7" ht="20.25" customHeight="1">
      <c r="A496" s="3" t="s">
        <v>394</v>
      </c>
      <c r="B496" s="3"/>
      <c r="C496" s="75"/>
      <c r="D496" s="3"/>
      <c r="E496" s="21" t="e">
        <f t="shared" si="21"/>
        <v>#DIV/0!</v>
      </c>
      <c r="F496" s="21" t="e">
        <f t="shared" si="22"/>
        <v>#DIV/0!</v>
      </c>
    </row>
    <row r="497" spans="1:6" ht="20.25" customHeight="1">
      <c r="A497" s="3" t="s">
        <v>395</v>
      </c>
      <c r="B497" s="3">
        <v>25</v>
      </c>
      <c r="C497" s="75"/>
      <c r="D497" s="3"/>
      <c r="E497" s="21" t="e">
        <f t="shared" si="21"/>
        <v>#DIV/0!</v>
      </c>
      <c r="F497" s="21" t="e">
        <f t="shared" si="22"/>
        <v>#DIV/0!</v>
      </c>
    </row>
    <row r="498" spans="1:6" ht="20.25" customHeight="1">
      <c r="A498" s="3" t="s">
        <v>396</v>
      </c>
      <c r="B498" s="3">
        <f>B499</f>
        <v>5</v>
      </c>
      <c r="C498" s="75"/>
      <c r="D498" s="3">
        <f>D499</f>
        <v>0</v>
      </c>
      <c r="E498" s="21" t="e">
        <f t="shared" si="21"/>
        <v>#DIV/0!</v>
      </c>
      <c r="F498" s="21" t="e">
        <f t="shared" si="22"/>
        <v>#DIV/0!</v>
      </c>
    </row>
    <row r="499" spans="1:6" ht="20.25" customHeight="1">
      <c r="A499" s="3" t="s">
        <v>397</v>
      </c>
      <c r="B499" s="3">
        <v>5</v>
      </c>
      <c r="C499" s="75"/>
      <c r="D499" s="3"/>
      <c r="E499" s="21" t="e">
        <f t="shared" si="21"/>
        <v>#DIV/0!</v>
      </c>
      <c r="F499" s="21" t="e">
        <f t="shared" si="22"/>
        <v>#DIV/0!</v>
      </c>
    </row>
    <row r="500" spans="1:6" ht="20.25" customHeight="1">
      <c r="A500" s="3" t="s">
        <v>398</v>
      </c>
      <c r="B500" s="3">
        <f>B501+B505</f>
        <v>173</v>
      </c>
      <c r="C500" s="75">
        <f>C501+C505</f>
        <v>1180</v>
      </c>
      <c r="D500" s="3">
        <f>D501+D505</f>
        <v>1510</v>
      </c>
      <c r="E500" s="21">
        <f t="shared" si="21"/>
        <v>-88.543046357615893</v>
      </c>
      <c r="F500" s="21">
        <f t="shared" si="22"/>
        <v>14.661016949152541</v>
      </c>
    </row>
    <row r="501" spans="1:6" ht="20.25" customHeight="1">
      <c r="A501" s="3" t="s">
        <v>399</v>
      </c>
      <c r="B501" s="3">
        <f>SUM(B502:B504)</f>
        <v>153</v>
      </c>
      <c r="C501" s="75">
        <f>SUM(C502:C504)</f>
        <v>1180</v>
      </c>
      <c r="D501" s="3">
        <f>SUM(D502:D504)</f>
        <v>1510</v>
      </c>
      <c r="E501" s="21">
        <f t="shared" si="21"/>
        <v>-89.867549668874176</v>
      </c>
      <c r="F501" s="21">
        <f t="shared" si="22"/>
        <v>12.966101694915256</v>
      </c>
    </row>
    <row r="502" spans="1:6" ht="20.25" customHeight="1">
      <c r="A502" s="3" t="s">
        <v>34</v>
      </c>
      <c r="B502" s="3">
        <v>129</v>
      </c>
      <c r="C502" s="75">
        <v>130</v>
      </c>
      <c r="D502" s="3">
        <v>115</v>
      </c>
      <c r="E502" s="21">
        <f t="shared" si="21"/>
        <v>12.173913043478262</v>
      </c>
      <c r="F502" s="21">
        <f t="shared" si="22"/>
        <v>99.230769230769226</v>
      </c>
    </row>
    <row r="503" spans="1:6" ht="20.25" customHeight="1">
      <c r="A503" s="3" t="s">
        <v>400</v>
      </c>
      <c r="B503" s="3"/>
      <c r="C503" s="75"/>
      <c r="D503" s="3">
        <v>395</v>
      </c>
      <c r="E503" s="21">
        <f t="shared" si="21"/>
        <v>-100</v>
      </c>
      <c r="F503" s="21" t="e">
        <f t="shared" si="22"/>
        <v>#DIV/0!</v>
      </c>
    </row>
    <row r="504" spans="1:6" ht="20.25" customHeight="1">
      <c r="A504" s="3" t="s">
        <v>401</v>
      </c>
      <c r="B504" s="3">
        <v>24</v>
      </c>
      <c r="C504" s="75">
        <f>30+1020</f>
        <v>1050</v>
      </c>
      <c r="D504" s="3">
        <v>1000</v>
      </c>
      <c r="E504" s="21">
        <f t="shared" si="21"/>
        <v>-97.6</v>
      </c>
      <c r="F504" s="21">
        <f t="shared" si="22"/>
        <v>2.2857142857142856</v>
      </c>
    </row>
    <row r="505" spans="1:6" ht="20.25" customHeight="1">
      <c r="A505" s="3" t="s">
        <v>402</v>
      </c>
      <c r="B505" s="3">
        <f>B506</f>
        <v>20</v>
      </c>
      <c r="C505" s="75">
        <f>C506</f>
        <v>0</v>
      </c>
      <c r="D505" s="3">
        <f>D506</f>
        <v>0</v>
      </c>
      <c r="E505" s="21" t="e">
        <f t="shared" si="21"/>
        <v>#DIV/0!</v>
      </c>
      <c r="F505" s="21" t="e">
        <f t="shared" si="22"/>
        <v>#DIV/0!</v>
      </c>
    </row>
    <row r="506" spans="1:6" ht="20.25" customHeight="1">
      <c r="A506" s="3" t="s">
        <v>403</v>
      </c>
      <c r="B506" s="3">
        <v>20</v>
      </c>
      <c r="C506" s="75"/>
      <c r="D506" s="3"/>
      <c r="E506" s="21" t="e">
        <f t="shared" si="21"/>
        <v>#DIV/0!</v>
      </c>
      <c r="F506" s="21" t="e">
        <f t="shared" si="22"/>
        <v>#DIV/0!</v>
      </c>
    </row>
    <row r="507" spans="1:6" ht="28.5" customHeight="1">
      <c r="A507" s="3" t="s">
        <v>404</v>
      </c>
      <c r="B507" s="3">
        <f>B508+B518+B520</f>
        <v>1215</v>
      </c>
      <c r="C507" s="75">
        <f>C508+C518+C520</f>
        <v>1514</v>
      </c>
      <c r="D507" s="3">
        <f>D508+D518+D520</f>
        <v>512</v>
      </c>
      <c r="E507" s="21">
        <f t="shared" si="21"/>
        <v>137.3046875</v>
      </c>
      <c r="F507" s="21">
        <f t="shared" si="22"/>
        <v>80.250990752972257</v>
      </c>
    </row>
    <row r="508" spans="1:6" ht="20.25" customHeight="1">
      <c r="A508" s="3" t="s">
        <v>405</v>
      </c>
      <c r="B508" s="3">
        <f>SUM(B509:B517)</f>
        <v>1157</v>
      </c>
      <c r="C508" s="75">
        <f>SUM(C509:C517)</f>
        <v>1456</v>
      </c>
      <c r="D508" s="3">
        <f>SUM(D509:D517)</f>
        <v>482</v>
      </c>
      <c r="E508" s="21">
        <f t="shared" si="21"/>
        <v>140.04149377593359</v>
      </c>
      <c r="F508" s="21">
        <f t="shared" si="22"/>
        <v>79.464285714285708</v>
      </c>
    </row>
    <row r="509" spans="1:6" ht="20.25" customHeight="1">
      <c r="A509" s="3" t="s">
        <v>34</v>
      </c>
      <c r="B509" s="3">
        <v>243</v>
      </c>
      <c r="C509" s="75">
        <v>243</v>
      </c>
      <c r="D509" s="3">
        <v>260</v>
      </c>
      <c r="E509" s="21">
        <f t="shared" si="21"/>
        <v>-6.5384615384615392</v>
      </c>
      <c r="F509" s="21">
        <f t="shared" si="22"/>
        <v>100</v>
      </c>
    </row>
    <row r="510" spans="1:6" ht="20.25" customHeight="1">
      <c r="A510" s="3" t="s">
        <v>406</v>
      </c>
      <c r="B510" s="3">
        <v>397</v>
      </c>
      <c r="C510" s="75">
        <v>397</v>
      </c>
      <c r="D510" s="3">
        <v>11</v>
      </c>
      <c r="E510" s="21">
        <f t="shared" si="21"/>
        <v>3509.0909090909095</v>
      </c>
      <c r="F510" s="21">
        <f t="shared" si="22"/>
        <v>100</v>
      </c>
    </row>
    <row r="511" spans="1:6" ht="20.25" customHeight="1">
      <c r="A511" s="3" t="s">
        <v>647</v>
      </c>
      <c r="B511" s="3">
        <v>279</v>
      </c>
      <c r="C511" s="75">
        <v>766</v>
      </c>
      <c r="D511" s="3"/>
      <c r="E511" s="21" t="e">
        <f t="shared" si="21"/>
        <v>#DIV/0!</v>
      </c>
      <c r="F511" s="21">
        <f t="shared" si="22"/>
        <v>36.422976501305484</v>
      </c>
    </row>
    <row r="512" spans="1:6" ht="20.25" customHeight="1">
      <c r="A512" s="3" t="s">
        <v>648</v>
      </c>
      <c r="B512" s="3"/>
      <c r="C512" s="75"/>
      <c r="D512" s="3"/>
      <c r="E512" s="21" t="e">
        <f t="shared" si="21"/>
        <v>#DIV/0!</v>
      </c>
      <c r="F512" s="21" t="e">
        <f t="shared" si="22"/>
        <v>#DIV/0!</v>
      </c>
    </row>
    <row r="513" spans="1:7" ht="20.25" customHeight="1">
      <c r="A513" s="3" t="s">
        <v>407</v>
      </c>
      <c r="B513" s="3">
        <v>139</v>
      </c>
      <c r="C513" s="75">
        <v>6</v>
      </c>
      <c r="D513" s="3"/>
      <c r="E513" s="21" t="e">
        <f t="shared" si="21"/>
        <v>#DIV/0!</v>
      </c>
      <c r="F513" s="21">
        <f t="shared" si="22"/>
        <v>2316.666666666667</v>
      </c>
      <c r="G513">
        <v>1025</v>
      </c>
    </row>
    <row r="514" spans="1:7" ht="20.25" customHeight="1">
      <c r="A514" s="3" t="s">
        <v>649</v>
      </c>
      <c r="B514" s="3">
        <v>25</v>
      </c>
      <c r="C514" s="75">
        <v>25</v>
      </c>
      <c r="D514" s="3"/>
      <c r="E514" s="21" t="e">
        <f t="shared" si="21"/>
        <v>#DIV/0!</v>
      </c>
      <c r="F514" s="21">
        <f t="shared" si="22"/>
        <v>100</v>
      </c>
    </row>
    <row r="515" spans="1:7" s="42" customFormat="1" ht="20.25" customHeight="1">
      <c r="A515" s="3" t="s">
        <v>650</v>
      </c>
      <c r="B515" s="3">
        <v>19</v>
      </c>
      <c r="C515" s="75">
        <v>19</v>
      </c>
      <c r="D515" s="3"/>
      <c r="E515" s="21" t="e">
        <f t="shared" si="21"/>
        <v>#DIV/0!</v>
      </c>
      <c r="F515" s="21">
        <f t="shared" si="22"/>
        <v>100</v>
      </c>
    </row>
    <row r="516" spans="1:7" ht="20.25" customHeight="1">
      <c r="A516" s="3" t="s">
        <v>46</v>
      </c>
      <c r="B516" s="3"/>
      <c r="C516" s="75"/>
      <c r="D516" s="3"/>
      <c r="E516" s="21" t="e">
        <f t="shared" si="21"/>
        <v>#DIV/0!</v>
      </c>
      <c r="F516" s="21" t="e">
        <f t="shared" si="22"/>
        <v>#DIV/0!</v>
      </c>
    </row>
    <row r="517" spans="1:7" ht="20.25" customHeight="1">
      <c r="A517" s="3" t="s">
        <v>408</v>
      </c>
      <c r="B517" s="3">
        <v>55</v>
      </c>
      <c r="C517" s="75"/>
      <c r="D517" s="3">
        <v>211</v>
      </c>
      <c r="E517" s="21">
        <f t="shared" si="21"/>
        <v>-73.93364928909952</v>
      </c>
      <c r="F517" s="21" t="e">
        <f t="shared" si="22"/>
        <v>#DIV/0!</v>
      </c>
      <c r="G517">
        <v>1684</v>
      </c>
    </row>
    <row r="518" spans="1:7" ht="20.25" customHeight="1">
      <c r="A518" s="3" t="s">
        <v>409</v>
      </c>
      <c r="B518" s="3">
        <f>B519</f>
        <v>0</v>
      </c>
      <c r="C518" s="75">
        <f>C519</f>
        <v>0</v>
      </c>
      <c r="D518" s="3">
        <f>D519</f>
        <v>0</v>
      </c>
      <c r="E518" s="21" t="e">
        <f t="shared" ref="E518:E576" si="24">(B518-D518)/D518*100</f>
        <v>#DIV/0!</v>
      </c>
      <c r="F518" s="21" t="e">
        <f t="shared" ref="F518:F576" si="25">B518/C518*100</f>
        <v>#DIV/0!</v>
      </c>
    </row>
    <row r="519" spans="1:7" ht="20.25" customHeight="1">
      <c r="A519" s="3" t="s">
        <v>410</v>
      </c>
      <c r="B519" s="3"/>
      <c r="C519" s="75"/>
      <c r="D519" s="3"/>
      <c r="E519" s="21" t="e">
        <f t="shared" si="24"/>
        <v>#DIV/0!</v>
      </c>
      <c r="F519" s="21" t="e">
        <f t="shared" si="25"/>
        <v>#DIV/0!</v>
      </c>
    </row>
    <row r="520" spans="1:7" ht="20.25" customHeight="1">
      <c r="A520" s="3" t="s">
        <v>411</v>
      </c>
      <c r="B520" s="3">
        <f>SUM(B521:B523)</f>
        <v>58</v>
      </c>
      <c r="C520" s="75">
        <f>SUM(C521:C523)</f>
        <v>58</v>
      </c>
      <c r="D520" s="3">
        <f>SUM(D521:D523)</f>
        <v>30</v>
      </c>
      <c r="E520" s="21">
        <f t="shared" si="24"/>
        <v>93.333333333333329</v>
      </c>
      <c r="F520" s="21">
        <f t="shared" si="25"/>
        <v>100</v>
      </c>
    </row>
    <row r="521" spans="1:7" ht="20.25" customHeight="1">
      <c r="A521" s="3" t="s">
        <v>412</v>
      </c>
      <c r="B521" s="3"/>
      <c r="C521" s="75"/>
      <c r="D521" s="3"/>
      <c r="E521" s="21" t="e">
        <f t="shared" si="24"/>
        <v>#DIV/0!</v>
      </c>
      <c r="F521" s="21" t="e">
        <f t="shared" si="25"/>
        <v>#DIV/0!</v>
      </c>
    </row>
    <row r="522" spans="1:7" ht="20.25" customHeight="1">
      <c r="A522" s="3" t="s">
        <v>413</v>
      </c>
      <c r="B522" s="3">
        <v>33</v>
      </c>
      <c r="C522" s="75">
        <v>33</v>
      </c>
      <c r="D522" s="3">
        <v>30</v>
      </c>
      <c r="E522" s="21">
        <f t="shared" si="24"/>
        <v>10</v>
      </c>
      <c r="F522" s="21">
        <f t="shared" si="25"/>
        <v>100</v>
      </c>
    </row>
    <row r="523" spans="1:7" ht="20.25" customHeight="1">
      <c r="A523" s="3" t="s">
        <v>651</v>
      </c>
      <c r="B523" s="3">
        <v>25</v>
      </c>
      <c r="C523" s="75">
        <v>25</v>
      </c>
      <c r="D523" s="3"/>
      <c r="E523" s="21" t="e">
        <f t="shared" si="24"/>
        <v>#DIV/0!</v>
      </c>
      <c r="F523" s="21">
        <f t="shared" si="25"/>
        <v>100</v>
      </c>
    </row>
    <row r="524" spans="1:7" ht="20.25" customHeight="1">
      <c r="A524" s="3" t="s">
        <v>414</v>
      </c>
      <c r="B524" s="3">
        <f>B525+B530+B532</f>
        <v>11745</v>
      </c>
      <c r="C524" s="75">
        <f>C525+C530+C532</f>
        <v>11800</v>
      </c>
      <c r="D524" s="3">
        <f>D525+D530+D532</f>
        <v>10283</v>
      </c>
      <c r="E524" s="21">
        <f t="shared" si="24"/>
        <v>14.217640766313334</v>
      </c>
      <c r="F524" s="21">
        <f t="shared" si="25"/>
        <v>99.533898305084747</v>
      </c>
    </row>
    <row r="525" spans="1:7" ht="20.25" customHeight="1">
      <c r="A525" s="3" t="s">
        <v>415</v>
      </c>
      <c r="B525" s="3">
        <f>SUM(B526:B529)</f>
        <v>6521</v>
      </c>
      <c r="C525" s="75">
        <f>SUM(C526:C529)</f>
        <v>6594</v>
      </c>
      <c r="D525" s="3">
        <f>SUM(D526:D529)</f>
        <v>6080</v>
      </c>
      <c r="E525" s="21">
        <f t="shared" si="24"/>
        <v>7.2532894736842106</v>
      </c>
      <c r="F525" s="21">
        <f t="shared" si="25"/>
        <v>98.892932969366086</v>
      </c>
    </row>
    <row r="526" spans="1:7" ht="20.25" customHeight="1">
      <c r="A526" s="3" t="s">
        <v>625</v>
      </c>
      <c r="B526" s="3">
        <v>904</v>
      </c>
      <c r="C526" s="75">
        <v>977</v>
      </c>
      <c r="D526" s="3">
        <v>1074</v>
      </c>
      <c r="E526" s="21">
        <f t="shared" si="24"/>
        <v>-15.828677839851025</v>
      </c>
      <c r="F526" s="21">
        <f t="shared" si="25"/>
        <v>92.528147389969291</v>
      </c>
      <c r="G526">
        <v>1499</v>
      </c>
    </row>
    <row r="527" spans="1:7" ht="20.25" customHeight="1">
      <c r="A527" s="3" t="s">
        <v>626</v>
      </c>
      <c r="B527" s="3">
        <v>256</v>
      </c>
      <c r="C527" s="75">
        <v>256</v>
      </c>
      <c r="D527" s="3">
        <v>905</v>
      </c>
      <c r="E527" s="21">
        <f t="shared" si="24"/>
        <v>-71.712707182320443</v>
      </c>
      <c r="F527" s="21">
        <f t="shared" si="25"/>
        <v>100</v>
      </c>
      <c r="G527">
        <v>757</v>
      </c>
    </row>
    <row r="528" spans="1:7" ht="20.25" customHeight="1">
      <c r="A528" s="3" t="s">
        <v>416</v>
      </c>
      <c r="B528" s="3">
        <v>5361</v>
      </c>
      <c r="C528" s="75">
        <v>5361</v>
      </c>
      <c r="D528" s="3">
        <v>4101</v>
      </c>
      <c r="E528" s="21">
        <f t="shared" si="24"/>
        <v>30.724213606437456</v>
      </c>
      <c r="F528" s="21">
        <f t="shared" si="25"/>
        <v>100</v>
      </c>
    </row>
    <row r="529" spans="1:7" ht="20.25" customHeight="1">
      <c r="A529" s="3" t="s">
        <v>417</v>
      </c>
      <c r="B529" s="3"/>
      <c r="C529" s="75"/>
      <c r="D529" s="3"/>
      <c r="E529" s="21" t="e">
        <f t="shared" si="24"/>
        <v>#DIV/0!</v>
      </c>
      <c r="F529" s="21" t="e">
        <f t="shared" si="25"/>
        <v>#DIV/0!</v>
      </c>
      <c r="G529">
        <v>2857</v>
      </c>
    </row>
    <row r="530" spans="1:7" ht="20.25" customHeight="1">
      <c r="A530" s="3" t="s">
        <v>418</v>
      </c>
      <c r="B530" s="3">
        <f>B531</f>
        <v>4875</v>
      </c>
      <c r="C530" s="75">
        <f>C531</f>
        <v>4844</v>
      </c>
      <c r="D530" s="3">
        <f>D531</f>
        <v>3989</v>
      </c>
      <c r="E530" s="21">
        <f t="shared" si="24"/>
        <v>22.211080471296064</v>
      </c>
      <c r="F530" s="21">
        <f t="shared" si="25"/>
        <v>100.63996696944675</v>
      </c>
    </row>
    <row r="531" spans="1:7" ht="20.25" customHeight="1">
      <c r="A531" s="3" t="s">
        <v>419</v>
      </c>
      <c r="B531" s="3">
        <f>5278-403</f>
        <v>4875</v>
      </c>
      <c r="C531" s="75">
        <f>5315-471</f>
        <v>4844</v>
      </c>
      <c r="D531" s="3">
        <v>3989</v>
      </c>
      <c r="E531" s="21">
        <f t="shared" si="24"/>
        <v>22.211080471296064</v>
      </c>
      <c r="F531" s="21">
        <f t="shared" si="25"/>
        <v>100.63996696944675</v>
      </c>
    </row>
    <row r="532" spans="1:7" ht="20.25" customHeight="1">
      <c r="A532" s="3" t="s">
        <v>420</v>
      </c>
      <c r="B532" s="3">
        <f>B533</f>
        <v>349</v>
      </c>
      <c r="C532" s="75">
        <f>C533</f>
        <v>362</v>
      </c>
      <c r="D532" s="3">
        <f>D533</f>
        <v>214</v>
      </c>
      <c r="E532" s="21">
        <f t="shared" si="24"/>
        <v>63.084112149532714</v>
      </c>
      <c r="F532" s="21">
        <f t="shared" si="25"/>
        <v>96.408839779005532</v>
      </c>
    </row>
    <row r="533" spans="1:7" ht="20.25" customHeight="1">
      <c r="A533" s="3" t="s">
        <v>421</v>
      </c>
      <c r="B533" s="3">
        <v>349</v>
      </c>
      <c r="C533" s="75">
        <v>362</v>
      </c>
      <c r="D533" s="3">
        <v>214</v>
      </c>
      <c r="E533" s="21">
        <f t="shared" si="24"/>
        <v>63.084112149532714</v>
      </c>
      <c r="F533" s="21">
        <f t="shared" si="25"/>
        <v>96.408839779005532</v>
      </c>
    </row>
    <row r="534" spans="1:7" ht="27" customHeight="1">
      <c r="A534" s="3" t="s">
        <v>422</v>
      </c>
      <c r="B534" s="3">
        <f>B535+B542</f>
        <v>235</v>
      </c>
      <c r="C534" s="75">
        <f>C535+C542</f>
        <v>237</v>
      </c>
      <c r="D534" s="3">
        <f>D535+D542</f>
        <v>242</v>
      </c>
      <c r="E534" s="21">
        <f t="shared" si="24"/>
        <v>-2.8925619834710745</v>
      </c>
      <c r="F534" s="21">
        <f t="shared" si="25"/>
        <v>99.156118143459921</v>
      </c>
    </row>
    <row r="535" spans="1:7" ht="20.25" customHeight="1">
      <c r="A535" s="3" t="s">
        <v>423</v>
      </c>
      <c r="B535" s="3">
        <f>SUM(B536:B541)</f>
        <v>235</v>
      </c>
      <c r="C535" s="75">
        <f>SUM(C536:C541)</f>
        <v>237</v>
      </c>
      <c r="D535" s="3">
        <f>SUM(D536:D541)</f>
        <v>242</v>
      </c>
      <c r="E535" s="21">
        <f t="shared" si="24"/>
        <v>-2.8925619834710745</v>
      </c>
      <c r="F535" s="21">
        <f t="shared" si="25"/>
        <v>99.156118143459921</v>
      </c>
    </row>
    <row r="536" spans="1:7" ht="20.25" customHeight="1">
      <c r="A536" s="3" t="s">
        <v>34</v>
      </c>
      <c r="B536" s="3"/>
      <c r="C536" s="75"/>
      <c r="D536" s="3">
        <v>117</v>
      </c>
      <c r="E536" s="21">
        <f t="shared" si="24"/>
        <v>-100</v>
      </c>
      <c r="F536" s="21" t="e">
        <f t="shared" si="25"/>
        <v>#DIV/0!</v>
      </c>
    </row>
    <row r="537" spans="1:7" ht="20.25" customHeight="1">
      <c r="A537" s="3" t="s">
        <v>35</v>
      </c>
      <c r="B537" s="3"/>
      <c r="C537" s="75"/>
      <c r="D537" s="3"/>
      <c r="E537" s="21" t="e">
        <f t="shared" si="24"/>
        <v>#DIV/0!</v>
      </c>
      <c r="F537" s="21" t="e">
        <f t="shared" si="25"/>
        <v>#DIV/0!</v>
      </c>
    </row>
    <row r="538" spans="1:7" ht="20.25" customHeight="1">
      <c r="A538" s="3" t="s">
        <v>424</v>
      </c>
      <c r="B538" s="3"/>
      <c r="C538" s="75"/>
      <c r="D538" s="3"/>
      <c r="E538" s="21" t="e">
        <f t="shared" si="24"/>
        <v>#DIV/0!</v>
      </c>
      <c r="F538" s="21" t="e">
        <f t="shared" si="25"/>
        <v>#DIV/0!</v>
      </c>
    </row>
    <row r="539" spans="1:7" ht="20.25" customHeight="1">
      <c r="A539" s="3" t="s">
        <v>425</v>
      </c>
      <c r="B539" s="3">
        <v>14</v>
      </c>
      <c r="C539" s="75">
        <v>14</v>
      </c>
      <c r="D539" s="3">
        <v>14</v>
      </c>
      <c r="E539" s="21">
        <f t="shared" si="24"/>
        <v>0</v>
      </c>
      <c r="F539" s="21">
        <f t="shared" si="25"/>
        <v>100</v>
      </c>
    </row>
    <row r="540" spans="1:7" ht="20.25" customHeight="1">
      <c r="A540" s="3" t="s">
        <v>46</v>
      </c>
      <c r="B540" s="3">
        <v>123</v>
      </c>
      <c r="C540" s="75">
        <v>123</v>
      </c>
      <c r="D540" s="3">
        <v>22</v>
      </c>
      <c r="E540" s="21">
        <f t="shared" si="24"/>
        <v>459.09090909090907</v>
      </c>
      <c r="F540" s="21">
        <f t="shared" si="25"/>
        <v>100</v>
      </c>
    </row>
    <row r="541" spans="1:7" ht="20.25" customHeight="1">
      <c r="A541" s="3" t="s">
        <v>426</v>
      </c>
      <c r="B541" s="3">
        <v>98</v>
      </c>
      <c r="C541" s="75">
        <v>100</v>
      </c>
      <c r="D541" s="3">
        <v>89</v>
      </c>
      <c r="E541" s="21">
        <f t="shared" si="24"/>
        <v>10.112359550561797</v>
      </c>
      <c r="F541" s="21">
        <f t="shared" si="25"/>
        <v>98</v>
      </c>
    </row>
    <row r="542" spans="1:7" ht="20.25" customHeight="1">
      <c r="A542" s="3" t="s">
        <v>427</v>
      </c>
      <c r="B542" s="3">
        <f>B543</f>
        <v>0</v>
      </c>
      <c r="C542" s="75">
        <f>C543</f>
        <v>0</v>
      </c>
      <c r="D542" s="3">
        <f>D543</f>
        <v>0</v>
      </c>
      <c r="E542" s="21" t="e">
        <f t="shared" si="24"/>
        <v>#DIV/0!</v>
      </c>
      <c r="F542" s="21" t="e">
        <f t="shared" si="25"/>
        <v>#DIV/0!</v>
      </c>
    </row>
    <row r="543" spans="1:7" ht="20.25" customHeight="1">
      <c r="A543" s="3" t="s">
        <v>428</v>
      </c>
      <c r="B543" s="3"/>
      <c r="C543" s="75"/>
      <c r="D543" s="3"/>
      <c r="E543" s="21" t="e">
        <f t="shared" si="24"/>
        <v>#DIV/0!</v>
      </c>
      <c r="F543" s="21" t="e">
        <f t="shared" si="25"/>
        <v>#DIV/0!</v>
      </c>
    </row>
    <row r="544" spans="1:7" ht="20.25" customHeight="1">
      <c r="A544" s="3" t="s">
        <v>429</v>
      </c>
      <c r="B544" s="3">
        <f>B545+B552+B555+B559+B563</f>
        <v>990</v>
      </c>
      <c r="C544" s="75">
        <f>C545+C552+C555+C559+C563</f>
        <v>868</v>
      </c>
      <c r="D544" s="3">
        <f>D545+D552+D555+D559+D563</f>
        <v>691</v>
      </c>
      <c r="E544" s="21">
        <f t="shared" si="24"/>
        <v>43.270622286541247</v>
      </c>
      <c r="F544" s="21">
        <f t="shared" si="25"/>
        <v>114.05529953917051</v>
      </c>
    </row>
    <row r="545" spans="1:6" ht="20.25" customHeight="1">
      <c r="A545" s="3" t="s">
        <v>430</v>
      </c>
      <c r="B545" s="3">
        <f>SUM(B546:B551)</f>
        <v>364</v>
      </c>
      <c r="C545" s="75">
        <f t="shared" ref="C545:D545" si="26">SUM(C546:C551)</f>
        <v>242</v>
      </c>
      <c r="D545" s="3">
        <f t="shared" si="26"/>
        <v>333</v>
      </c>
      <c r="E545" s="21">
        <f t="shared" si="24"/>
        <v>9.3093093093093096</v>
      </c>
      <c r="F545" s="21">
        <f t="shared" si="25"/>
        <v>150.41322314049589</v>
      </c>
    </row>
    <row r="546" spans="1:6" ht="20.25" customHeight="1">
      <c r="A546" s="3" t="s">
        <v>34</v>
      </c>
      <c r="B546" s="3">
        <v>131</v>
      </c>
      <c r="C546" s="75">
        <v>131</v>
      </c>
      <c r="D546" s="3">
        <v>97</v>
      </c>
      <c r="E546" s="21">
        <f t="shared" si="24"/>
        <v>35.051546391752574</v>
      </c>
      <c r="F546" s="21">
        <f t="shared" si="25"/>
        <v>100</v>
      </c>
    </row>
    <row r="547" spans="1:6" s="42" customFormat="1" ht="20.25" customHeight="1">
      <c r="A547" s="3" t="s">
        <v>652</v>
      </c>
      <c r="B547" s="3">
        <v>72</v>
      </c>
      <c r="C547" s="75">
        <v>24</v>
      </c>
      <c r="D547" s="3"/>
      <c r="E547" s="21" t="e">
        <f t="shared" si="24"/>
        <v>#DIV/0!</v>
      </c>
      <c r="F547" s="21">
        <f t="shared" si="25"/>
        <v>300</v>
      </c>
    </row>
    <row r="548" spans="1:6" ht="20.25" customHeight="1">
      <c r="A548" s="3" t="s">
        <v>431</v>
      </c>
      <c r="B548" s="3"/>
      <c r="C548" s="75"/>
      <c r="D548" s="3">
        <v>112</v>
      </c>
      <c r="E548" s="21">
        <f t="shared" si="24"/>
        <v>-100</v>
      </c>
      <c r="F548" s="21" t="e">
        <f t="shared" si="25"/>
        <v>#DIV/0!</v>
      </c>
    </row>
    <row r="549" spans="1:6" ht="20.25" customHeight="1">
      <c r="A549" s="3" t="s">
        <v>432</v>
      </c>
      <c r="B549" s="3"/>
      <c r="C549" s="75"/>
      <c r="D549" s="3"/>
      <c r="E549" s="21" t="e">
        <f t="shared" si="24"/>
        <v>#DIV/0!</v>
      </c>
      <c r="F549" s="21" t="e">
        <f t="shared" si="25"/>
        <v>#DIV/0!</v>
      </c>
    </row>
    <row r="550" spans="1:6" ht="20.25" customHeight="1">
      <c r="A550" s="3" t="s">
        <v>46</v>
      </c>
      <c r="B550" s="3">
        <v>87</v>
      </c>
      <c r="C550" s="75">
        <v>87</v>
      </c>
      <c r="D550" s="3">
        <v>79</v>
      </c>
      <c r="E550" s="21">
        <f t="shared" si="24"/>
        <v>10.126582278481013</v>
      </c>
      <c r="F550" s="21">
        <f t="shared" si="25"/>
        <v>100</v>
      </c>
    </row>
    <row r="551" spans="1:6" ht="20.25" customHeight="1">
      <c r="A551" s="3" t="s">
        <v>433</v>
      </c>
      <c r="B551" s="3">
        <v>74</v>
      </c>
      <c r="C551" s="75"/>
      <c r="D551" s="3">
        <v>45</v>
      </c>
      <c r="E551" s="21">
        <f t="shared" si="24"/>
        <v>64.444444444444443</v>
      </c>
      <c r="F551" s="21" t="e">
        <f t="shared" si="25"/>
        <v>#DIV/0!</v>
      </c>
    </row>
    <row r="552" spans="1:6" ht="20.25" customHeight="1">
      <c r="A552" s="3" t="s">
        <v>434</v>
      </c>
      <c r="B552" s="3">
        <f>SUM(B553:B554)</f>
        <v>351</v>
      </c>
      <c r="C552" s="75">
        <f>SUM(C553:C554)</f>
        <v>351</v>
      </c>
      <c r="D552" s="3">
        <f>SUM(D553:D554)</f>
        <v>345</v>
      </c>
      <c r="E552" s="21">
        <f t="shared" si="24"/>
        <v>1.7391304347826086</v>
      </c>
      <c r="F552" s="21">
        <f t="shared" si="25"/>
        <v>100</v>
      </c>
    </row>
    <row r="553" spans="1:6" ht="20.25" customHeight="1">
      <c r="A553" s="3" t="s">
        <v>435</v>
      </c>
      <c r="B553" s="3"/>
      <c r="C553" s="75">
        <f>9-7</f>
        <v>2</v>
      </c>
      <c r="D553" s="3"/>
      <c r="E553" s="21" t="e">
        <f t="shared" si="24"/>
        <v>#DIV/0!</v>
      </c>
      <c r="F553" s="21">
        <f t="shared" si="25"/>
        <v>0</v>
      </c>
    </row>
    <row r="554" spans="1:6" ht="20.25" customHeight="1">
      <c r="A554" s="3" t="s">
        <v>436</v>
      </c>
      <c r="B554" s="3">
        <v>351</v>
      </c>
      <c r="C554" s="75">
        <v>349</v>
      </c>
      <c r="D554" s="3">
        <v>345</v>
      </c>
      <c r="E554" s="21">
        <f t="shared" si="24"/>
        <v>1.7391304347826086</v>
      </c>
      <c r="F554" s="21">
        <f t="shared" si="25"/>
        <v>100.57306590257879</v>
      </c>
    </row>
    <row r="555" spans="1:6" ht="20.25" customHeight="1">
      <c r="A555" s="3" t="s">
        <v>654</v>
      </c>
      <c r="B555" s="3">
        <f>SUM(B556:B558)</f>
        <v>37</v>
      </c>
      <c r="C555" s="75">
        <f>SUM(C556:C558)</f>
        <v>37</v>
      </c>
      <c r="D555" s="3">
        <f>SUM(D556:D558)</f>
        <v>0</v>
      </c>
      <c r="E555" s="21" t="e">
        <f t="shared" si="24"/>
        <v>#DIV/0!</v>
      </c>
      <c r="F555" s="21">
        <f t="shared" si="25"/>
        <v>100</v>
      </c>
    </row>
    <row r="556" spans="1:6" ht="20.25" customHeight="1">
      <c r="A556" s="43" t="s">
        <v>655</v>
      </c>
      <c r="B556" s="3"/>
      <c r="C556" s="75"/>
      <c r="D556" s="3"/>
      <c r="E556" s="21" t="e">
        <f t="shared" si="24"/>
        <v>#DIV/0!</v>
      </c>
      <c r="F556" s="21" t="e">
        <f t="shared" si="25"/>
        <v>#DIV/0!</v>
      </c>
    </row>
    <row r="557" spans="1:6" ht="20.25" customHeight="1">
      <c r="A557" s="43" t="s">
        <v>656</v>
      </c>
      <c r="B557" s="3"/>
      <c r="C557" s="75"/>
      <c r="D557" s="3"/>
      <c r="E557" s="21" t="e">
        <f t="shared" si="24"/>
        <v>#DIV/0!</v>
      </c>
      <c r="F557" s="21" t="e">
        <f t="shared" si="25"/>
        <v>#DIV/0!</v>
      </c>
    </row>
    <row r="558" spans="1:6" ht="20.25" customHeight="1">
      <c r="A558" s="43" t="s">
        <v>657</v>
      </c>
      <c r="B558" s="3">
        <v>37</v>
      </c>
      <c r="C558" s="75">
        <v>37</v>
      </c>
      <c r="D558" s="3"/>
      <c r="E558" s="21" t="e">
        <f t="shared" si="24"/>
        <v>#DIV/0!</v>
      </c>
      <c r="F558" s="21">
        <f t="shared" si="25"/>
        <v>100</v>
      </c>
    </row>
    <row r="559" spans="1:6" ht="20.25" customHeight="1">
      <c r="A559" s="3" t="s">
        <v>653</v>
      </c>
      <c r="B559" s="3">
        <f>SUM(B560:B562)</f>
        <v>238</v>
      </c>
      <c r="C559" s="75">
        <f>SUM(C560:C562)</f>
        <v>238</v>
      </c>
      <c r="D559" s="3">
        <f>SUM(D560:D562)</f>
        <v>13</v>
      </c>
      <c r="E559" s="21">
        <f t="shared" si="24"/>
        <v>1730.7692307692307</v>
      </c>
      <c r="F559" s="21">
        <f t="shared" si="25"/>
        <v>100</v>
      </c>
    </row>
    <row r="560" spans="1:6" ht="20.25" customHeight="1">
      <c r="A560" s="44" t="s">
        <v>437</v>
      </c>
      <c r="B560" s="3">
        <v>238</v>
      </c>
      <c r="C560" s="75">
        <v>238</v>
      </c>
      <c r="D560" s="3"/>
      <c r="E560" s="21" t="e">
        <f t="shared" si="24"/>
        <v>#DIV/0!</v>
      </c>
      <c r="F560" s="21">
        <f t="shared" si="25"/>
        <v>100</v>
      </c>
    </row>
    <row r="561" spans="1:7" ht="20.25" customHeight="1">
      <c r="A561" s="44" t="s">
        <v>606</v>
      </c>
      <c r="B561" s="3"/>
      <c r="C561" s="75"/>
      <c r="D561" s="3">
        <v>13</v>
      </c>
      <c r="E561" s="21">
        <f t="shared" si="24"/>
        <v>-100</v>
      </c>
      <c r="F561" s="21" t="e">
        <f t="shared" si="25"/>
        <v>#DIV/0!</v>
      </c>
    </row>
    <row r="562" spans="1:7" ht="20.25" customHeight="1">
      <c r="A562" s="44" t="s">
        <v>658</v>
      </c>
      <c r="B562" s="3"/>
      <c r="C562" s="75"/>
      <c r="D562" s="3"/>
      <c r="E562" s="21" t="e">
        <f t="shared" si="24"/>
        <v>#DIV/0!</v>
      </c>
      <c r="F562" s="21" t="e">
        <f t="shared" si="25"/>
        <v>#DIV/0!</v>
      </c>
    </row>
    <row r="563" spans="1:7" ht="20.25" customHeight="1">
      <c r="A563" s="3" t="s">
        <v>438</v>
      </c>
      <c r="B563" s="3"/>
      <c r="C563" s="75"/>
      <c r="D563" s="3"/>
      <c r="E563" s="21" t="e">
        <f t="shared" si="24"/>
        <v>#DIV/0!</v>
      </c>
      <c r="F563" s="21" t="e">
        <f t="shared" si="25"/>
        <v>#DIV/0!</v>
      </c>
    </row>
    <row r="564" spans="1:7" ht="20.25" customHeight="1">
      <c r="A564" s="3" t="s">
        <v>439</v>
      </c>
      <c r="B564" s="3">
        <f>B565</f>
        <v>0</v>
      </c>
      <c r="C564" s="75">
        <f>C565</f>
        <v>1300</v>
      </c>
      <c r="D564" s="3">
        <f>D565</f>
        <v>0</v>
      </c>
      <c r="E564" s="21" t="e">
        <f t="shared" si="24"/>
        <v>#DIV/0!</v>
      </c>
      <c r="F564" s="21">
        <f t="shared" si="25"/>
        <v>0</v>
      </c>
    </row>
    <row r="565" spans="1:7" ht="20.25" customHeight="1">
      <c r="A565" s="3" t="s">
        <v>440</v>
      </c>
      <c r="B565" s="3"/>
      <c r="C565" s="75">
        <v>1300</v>
      </c>
      <c r="D565" s="3"/>
      <c r="E565" s="21" t="e">
        <f t="shared" si="24"/>
        <v>#DIV/0!</v>
      </c>
      <c r="F565" s="21">
        <f t="shared" si="25"/>
        <v>0</v>
      </c>
    </row>
    <row r="566" spans="1:7" ht="20.25" customHeight="1">
      <c r="A566" s="3" t="s">
        <v>441</v>
      </c>
      <c r="B566" s="3">
        <f>B567+B568</f>
        <v>2</v>
      </c>
      <c r="C566" s="75">
        <f>C567+C568</f>
        <v>2</v>
      </c>
      <c r="D566" s="3">
        <f>D567+D568</f>
        <v>2011</v>
      </c>
      <c r="E566" s="21">
        <f t="shared" si="24"/>
        <v>-99.900546991546491</v>
      </c>
      <c r="F566" s="21">
        <f t="shared" si="25"/>
        <v>100</v>
      </c>
    </row>
    <row r="567" spans="1:7" ht="20.25" customHeight="1">
      <c r="A567" s="3" t="s">
        <v>442</v>
      </c>
      <c r="B567" s="3"/>
      <c r="C567" s="75"/>
      <c r="D567" s="3"/>
      <c r="E567" s="21" t="e">
        <f t="shared" si="24"/>
        <v>#DIV/0!</v>
      </c>
      <c r="F567" s="21" t="e">
        <f t="shared" si="25"/>
        <v>#DIV/0!</v>
      </c>
    </row>
    <row r="568" spans="1:7" ht="20.25" customHeight="1">
      <c r="A568" s="3" t="s">
        <v>443</v>
      </c>
      <c r="B568" s="3">
        <f>B569</f>
        <v>2</v>
      </c>
      <c r="C568" s="75">
        <f>C569</f>
        <v>2</v>
      </c>
      <c r="D568" s="3">
        <v>2011</v>
      </c>
      <c r="E568" s="21">
        <f t="shared" si="24"/>
        <v>-99.900546991546491</v>
      </c>
      <c r="F568" s="21">
        <f t="shared" si="25"/>
        <v>100</v>
      </c>
    </row>
    <row r="569" spans="1:7" ht="20.25" customHeight="1">
      <c r="A569" s="3" t="s">
        <v>444</v>
      </c>
      <c r="B569" s="3">
        <v>2</v>
      </c>
      <c r="C569" s="75">
        <v>2</v>
      </c>
      <c r="D569" s="3"/>
      <c r="E569" s="21" t="e">
        <f t="shared" si="24"/>
        <v>#DIV/0!</v>
      </c>
      <c r="F569" s="21">
        <f t="shared" si="25"/>
        <v>100</v>
      </c>
      <c r="G569">
        <v>59</v>
      </c>
    </row>
    <row r="570" spans="1:7" ht="20.25" customHeight="1">
      <c r="A570" s="3" t="s">
        <v>445</v>
      </c>
      <c r="B570" s="3">
        <f t="shared" ref="B570:D572" si="27">B571</f>
        <v>1490</v>
      </c>
      <c r="C570" s="75">
        <f t="shared" si="27"/>
        <v>1490</v>
      </c>
      <c r="D570" s="3">
        <f t="shared" si="27"/>
        <v>1503</v>
      </c>
      <c r="E570" s="21">
        <f t="shared" si="24"/>
        <v>-0.86493679308050564</v>
      </c>
      <c r="F570" s="21">
        <f t="shared" si="25"/>
        <v>100</v>
      </c>
    </row>
    <row r="571" spans="1:7" ht="20.25" customHeight="1">
      <c r="A571" s="3" t="s">
        <v>446</v>
      </c>
      <c r="B571" s="3">
        <f t="shared" si="27"/>
        <v>1490</v>
      </c>
      <c r="C571" s="75">
        <f t="shared" si="27"/>
        <v>1490</v>
      </c>
      <c r="D571" s="3">
        <f t="shared" si="27"/>
        <v>1503</v>
      </c>
      <c r="E571" s="21">
        <f t="shared" si="24"/>
        <v>-0.86493679308050564</v>
      </c>
      <c r="F571" s="21">
        <f t="shared" si="25"/>
        <v>100</v>
      </c>
    </row>
    <row r="572" spans="1:7" ht="20.25" customHeight="1">
      <c r="A572" s="3" t="s">
        <v>447</v>
      </c>
      <c r="B572" s="3">
        <f t="shared" si="27"/>
        <v>1490</v>
      </c>
      <c r="C572" s="75">
        <f t="shared" si="27"/>
        <v>1490</v>
      </c>
      <c r="D572" s="3">
        <f t="shared" si="27"/>
        <v>1503</v>
      </c>
      <c r="E572" s="21">
        <f t="shared" si="24"/>
        <v>-0.86493679308050564</v>
      </c>
      <c r="F572" s="21">
        <f t="shared" si="25"/>
        <v>100</v>
      </c>
    </row>
    <row r="573" spans="1:7" ht="20.25" customHeight="1">
      <c r="A573" s="3" t="s">
        <v>448</v>
      </c>
      <c r="B573" s="3">
        <v>1490</v>
      </c>
      <c r="C573" s="75">
        <v>1490</v>
      </c>
      <c r="D573" s="3">
        <v>1503</v>
      </c>
      <c r="E573" s="21">
        <f t="shared" si="24"/>
        <v>-0.86493679308050564</v>
      </c>
      <c r="F573" s="21">
        <f t="shared" si="25"/>
        <v>100</v>
      </c>
    </row>
    <row r="574" spans="1:7" ht="20.25" customHeight="1">
      <c r="A574" s="3" t="s">
        <v>449</v>
      </c>
      <c r="B574" s="3">
        <f t="shared" ref="B574:D575" si="28">B575</f>
        <v>13</v>
      </c>
      <c r="C574" s="75">
        <f t="shared" si="28"/>
        <v>9</v>
      </c>
      <c r="D574" s="3">
        <f t="shared" si="28"/>
        <v>6</v>
      </c>
      <c r="E574" s="21">
        <f t="shared" si="24"/>
        <v>116.66666666666667</v>
      </c>
      <c r="F574" s="21">
        <f t="shared" si="25"/>
        <v>144.44444444444443</v>
      </c>
    </row>
    <row r="575" spans="1:7" ht="20.25" customHeight="1">
      <c r="A575" s="3" t="s">
        <v>450</v>
      </c>
      <c r="B575" s="3">
        <f t="shared" si="28"/>
        <v>13</v>
      </c>
      <c r="C575" s="75">
        <f t="shared" si="28"/>
        <v>9</v>
      </c>
      <c r="D575" s="3">
        <f t="shared" si="28"/>
        <v>6</v>
      </c>
      <c r="E575" s="21">
        <f t="shared" si="24"/>
        <v>116.66666666666667</v>
      </c>
      <c r="F575" s="21">
        <f t="shared" si="25"/>
        <v>144.44444444444443</v>
      </c>
    </row>
    <row r="576" spans="1:7" ht="20.25" customHeight="1">
      <c r="A576" s="3" t="s">
        <v>451</v>
      </c>
      <c r="B576" s="3">
        <v>13</v>
      </c>
      <c r="C576" s="75">
        <v>9</v>
      </c>
      <c r="D576" s="3">
        <v>6</v>
      </c>
      <c r="E576" s="21">
        <f t="shared" si="24"/>
        <v>116.66666666666667</v>
      </c>
      <c r="F576" s="21">
        <f t="shared" si="25"/>
        <v>144.44444444444443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1181102362204722" right="0.51181102362204722" top="0.35433070866141736" bottom="0.35433070866141736" header="0.39370078740157483" footer="0.19685039370078741"/>
  <pageSetup paperSize="9" scale="67" fitToHeight="1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4"/>
  <sheetViews>
    <sheetView showZeros="0" workbookViewId="0">
      <selection activeCell="I15" sqref="I15:I16"/>
    </sheetView>
  </sheetViews>
  <sheetFormatPr defaultColWidth="9.375" defaultRowHeight="10.8"/>
  <cols>
    <col min="1" max="1" width="22.75" customWidth="1"/>
    <col min="2" max="2" width="14.625" customWidth="1"/>
    <col min="3" max="3" width="13.5" customWidth="1"/>
    <col min="4" max="4" width="15.125" customWidth="1"/>
    <col min="5" max="5" width="11.125" customWidth="1"/>
    <col min="6" max="6" width="12.5" customWidth="1"/>
    <col min="7" max="7" width="12.875" customWidth="1"/>
    <col min="8" max="8" width="12.375" customWidth="1"/>
    <col min="9" max="9" width="11.75" customWidth="1"/>
  </cols>
  <sheetData>
    <row r="1" spans="1:9" ht="20.399999999999999">
      <c r="A1" s="103" t="s">
        <v>685</v>
      </c>
      <c r="B1" s="103"/>
      <c r="C1" s="103"/>
      <c r="D1" s="103"/>
      <c r="E1" s="103"/>
      <c r="F1" s="103"/>
      <c r="G1" s="103"/>
      <c r="H1" s="103"/>
      <c r="I1" s="103"/>
    </row>
    <row r="2" spans="1:9" ht="21.75" customHeight="1" thickBot="1">
      <c r="A2" s="48"/>
      <c r="B2" s="46"/>
      <c r="C2" s="47"/>
      <c r="D2" s="47"/>
      <c r="E2" s="45"/>
      <c r="F2" s="45"/>
      <c r="G2" s="45"/>
      <c r="H2" s="45"/>
      <c r="I2" s="47" t="s">
        <v>452</v>
      </c>
    </row>
    <row r="3" spans="1:9" ht="16.5" customHeight="1">
      <c r="A3" s="104" t="s">
        <v>453</v>
      </c>
      <c r="B3" s="106" t="s">
        <v>686</v>
      </c>
      <c r="C3" s="106"/>
      <c r="D3" s="106" t="s">
        <v>687</v>
      </c>
      <c r="E3" s="106"/>
      <c r="F3" s="106" t="s">
        <v>688</v>
      </c>
      <c r="G3" s="106"/>
      <c r="H3" s="106" t="s">
        <v>689</v>
      </c>
      <c r="I3" s="107"/>
    </row>
    <row r="4" spans="1:9" ht="36">
      <c r="A4" s="105"/>
      <c r="B4" s="70" t="s">
        <v>455</v>
      </c>
      <c r="C4" s="70" t="s">
        <v>454</v>
      </c>
      <c r="D4" s="70" t="s">
        <v>455</v>
      </c>
      <c r="E4" s="70" t="s">
        <v>454</v>
      </c>
      <c r="F4" s="70" t="s">
        <v>455</v>
      </c>
      <c r="G4" s="70" t="s">
        <v>454</v>
      </c>
      <c r="H4" s="70" t="s">
        <v>455</v>
      </c>
      <c r="I4" s="72" t="s">
        <v>454</v>
      </c>
    </row>
    <row r="5" spans="1:9" ht="19.95" customHeight="1">
      <c r="A5" s="68" t="s">
        <v>455</v>
      </c>
      <c r="B5" s="62">
        <f>B6+B11+B21+B29+B31+B35+B38+B42+B48+B50+B53</f>
        <v>216900</v>
      </c>
      <c r="C5" s="62">
        <f t="shared" ref="C5:E5" si="0">C6+C11+C21+C29+C31+C35+C38+C42+C48+C50+C53</f>
        <v>71855</v>
      </c>
      <c r="D5" s="62">
        <f t="shared" si="0"/>
        <v>227687</v>
      </c>
      <c r="E5" s="62">
        <f t="shared" si="0"/>
        <v>74495</v>
      </c>
      <c r="F5" s="62">
        <f t="shared" ref="F5:F6" si="1">B5-D5</f>
        <v>-10787</v>
      </c>
      <c r="G5" s="62">
        <f>C5-E5</f>
        <v>-2640</v>
      </c>
      <c r="H5" s="71">
        <f>F5/D5*100</f>
        <v>-4.7376442221119346</v>
      </c>
      <c r="I5" s="67">
        <f>G5/E5*100</f>
        <v>-3.5438620041613529</v>
      </c>
    </row>
    <row r="6" spans="1:9" ht="19.95" customHeight="1">
      <c r="A6" s="61" t="s">
        <v>456</v>
      </c>
      <c r="B6" s="60">
        <f>SUM(B7:B10)</f>
        <v>10943</v>
      </c>
      <c r="C6" s="60">
        <f t="shared" ref="C6:E6" si="2">SUM(C7:C10)</f>
        <v>10943</v>
      </c>
      <c r="D6" s="60">
        <f t="shared" si="2"/>
        <v>17181</v>
      </c>
      <c r="E6" s="60">
        <f t="shared" si="2"/>
        <v>17181</v>
      </c>
      <c r="F6" s="62">
        <f t="shared" si="1"/>
        <v>-6238</v>
      </c>
      <c r="G6" s="62">
        <f t="shared" ref="G6:G54" si="3">C6-E6</f>
        <v>-6238</v>
      </c>
      <c r="H6" s="71">
        <f t="shared" ref="H6:H52" si="4">F6/D6*100</f>
        <v>-36.307549036726613</v>
      </c>
      <c r="I6" s="67">
        <f t="shared" ref="I6:I47" si="5">G6/E6*100</f>
        <v>-36.307549036726613</v>
      </c>
    </row>
    <row r="7" spans="1:9" ht="19.95" customHeight="1">
      <c r="A7" s="59" t="s">
        <v>457</v>
      </c>
      <c r="B7" s="60">
        <f>11252-3595</f>
        <v>7657</v>
      </c>
      <c r="C7" s="60">
        <v>7657</v>
      </c>
      <c r="D7" s="58">
        <f>16315-3595</f>
        <v>12720</v>
      </c>
      <c r="E7" s="58">
        <f>16315-3595</f>
        <v>12720</v>
      </c>
      <c r="F7" s="62">
        <f>B7-D7</f>
        <v>-5063</v>
      </c>
      <c r="G7" s="62">
        <f t="shared" si="3"/>
        <v>-5063</v>
      </c>
      <c r="H7" s="71">
        <f t="shared" si="4"/>
        <v>-39.80345911949685</v>
      </c>
      <c r="I7" s="67">
        <f t="shared" si="5"/>
        <v>-39.80345911949685</v>
      </c>
    </row>
    <row r="8" spans="1:9" ht="19.95" customHeight="1">
      <c r="A8" s="59" t="s">
        <v>458</v>
      </c>
      <c r="B8" s="60">
        <f>2442-632</f>
        <v>1810</v>
      </c>
      <c r="C8" s="60">
        <v>1810</v>
      </c>
      <c r="D8" s="58">
        <f>3616-632</f>
        <v>2984</v>
      </c>
      <c r="E8" s="58">
        <f>3616-632</f>
        <v>2984</v>
      </c>
      <c r="F8" s="62">
        <f t="shared" ref="F8:F54" si="6">B8-D8</f>
        <v>-1174</v>
      </c>
      <c r="G8" s="62">
        <f t="shared" si="3"/>
        <v>-1174</v>
      </c>
      <c r="H8" s="71">
        <f t="shared" si="4"/>
        <v>-39.343163538873995</v>
      </c>
      <c r="I8" s="67">
        <f t="shared" si="5"/>
        <v>-39.343163538873995</v>
      </c>
    </row>
    <row r="9" spans="1:9" ht="19.95" customHeight="1">
      <c r="A9" s="59" t="s">
        <v>459</v>
      </c>
      <c r="B9" s="60">
        <f>1501-404</f>
        <v>1097</v>
      </c>
      <c r="C9" s="60">
        <v>1097</v>
      </c>
      <c r="D9" s="58">
        <f>1320-404</f>
        <v>916</v>
      </c>
      <c r="E9" s="58">
        <f>1320-404</f>
        <v>916</v>
      </c>
      <c r="F9" s="62">
        <f t="shared" si="6"/>
        <v>181</v>
      </c>
      <c r="G9" s="62">
        <f t="shared" si="3"/>
        <v>181</v>
      </c>
      <c r="H9" s="71">
        <f t="shared" si="4"/>
        <v>19.759825327510917</v>
      </c>
      <c r="I9" s="67">
        <f t="shared" si="5"/>
        <v>19.759825327510917</v>
      </c>
    </row>
    <row r="10" spans="1:9" ht="19.95" customHeight="1">
      <c r="A10" s="59" t="s">
        <v>460</v>
      </c>
      <c r="B10" s="60">
        <f>699-320</f>
        <v>379</v>
      </c>
      <c r="C10" s="60">
        <v>379</v>
      </c>
      <c r="D10" s="58">
        <f>881-320</f>
        <v>561</v>
      </c>
      <c r="E10" s="58">
        <f>881-320</f>
        <v>561</v>
      </c>
      <c r="F10" s="62">
        <f t="shared" si="6"/>
        <v>-182</v>
      </c>
      <c r="G10" s="62">
        <f t="shared" si="3"/>
        <v>-182</v>
      </c>
      <c r="H10" s="71">
        <f t="shared" si="4"/>
        <v>-32.442067736185379</v>
      </c>
      <c r="I10" s="67">
        <f t="shared" si="5"/>
        <v>-32.442067736185379</v>
      </c>
    </row>
    <row r="11" spans="1:9" ht="19.95" customHeight="1">
      <c r="A11" s="61" t="s">
        <v>461</v>
      </c>
      <c r="B11" s="60">
        <f>SUM(B12:B20)</f>
        <v>16157</v>
      </c>
      <c r="C11" s="60">
        <f t="shared" ref="C11:E11" si="7">SUM(C12:C20)</f>
        <v>3914</v>
      </c>
      <c r="D11" s="60">
        <f t="shared" si="7"/>
        <v>14641</v>
      </c>
      <c r="E11" s="60">
        <f t="shared" si="7"/>
        <v>2810</v>
      </c>
      <c r="F11" s="62">
        <f t="shared" si="6"/>
        <v>1516</v>
      </c>
      <c r="G11" s="62">
        <f t="shared" si="3"/>
        <v>1104</v>
      </c>
      <c r="H11" s="71">
        <f t="shared" si="4"/>
        <v>10.354483983334472</v>
      </c>
      <c r="I11" s="67">
        <f t="shared" si="5"/>
        <v>39.288256227758005</v>
      </c>
    </row>
    <row r="12" spans="1:9" ht="19.95" customHeight="1">
      <c r="A12" s="59" t="s">
        <v>462</v>
      </c>
      <c r="B12" s="60">
        <f>9186-2098</f>
        <v>7088</v>
      </c>
      <c r="C12" s="60">
        <f>3552-1596</f>
        <v>1956</v>
      </c>
      <c r="D12" s="58">
        <f>5406-2098</f>
        <v>3308</v>
      </c>
      <c r="E12" s="58">
        <f>4123-1596-379</f>
        <v>2148</v>
      </c>
      <c r="F12" s="62">
        <f t="shared" si="6"/>
        <v>3780</v>
      </c>
      <c r="G12" s="62">
        <f t="shared" si="3"/>
        <v>-192</v>
      </c>
      <c r="H12" s="71">
        <f t="shared" si="4"/>
        <v>114.26844014510277</v>
      </c>
      <c r="I12" s="67">
        <f t="shared" si="5"/>
        <v>-8.938547486033519</v>
      </c>
    </row>
    <row r="13" spans="1:9" ht="19.95" customHeight="1">
      <c r="A13" s="59" t="s">
        <v>463</v>
      </c>
      <c r="B13" s="60">
        <f>71-3</f>
        <v>68</v>
      </c>
      <c r="C13" s="60">
        <f>4-3</f>
        <v>1</v>
      </c>
      <c r="D13" s="58">
        <f>6-3</f>
        <v>3</v>
      </c>
      <c r="E13" s="58">
        <f>6-3</f>
        <v>3</v>
      </c>
      <c r="F13" s="62">
        <f t="shared" si="6"/>
        <v>65</v>
      </c>
      <c r="G13" s="62">
        <f t="shared" si="3"/>
        <v>-2</v>
      </c>
      <c r="H13" s="71">
        <f t="shared" si="4"/>
        <v>2166.666666666667</v>
      </c>
      <c r="I13" s="67">
        <f t="shared" si="5"/>
        <v>-66.666666666666657</v>
      </c>
    </row>
    <row r="14" spans="1:9" ht="19.95" customHeight="1">
      <c r="A14" s="59" t="s">
        <v>464</v>
      </c>
      <c r="B14" s="60">
        <f>56-1</f>
        <v>55</v>
      </c>
      <c r="C14" s="60">
        <f>5-1</f>
        <v>4</v>
      </c>
      <c r="D14" s="58">
        <f>18-1</f>
        <v>17</v>
      </c>
      <c r="E14" s="58">
        <f>10-1</f>
        <v>9</v>
      </c>
      <c r="F14" s="62">
        <f t="shared" si="6"/>
        <v>38</v>
      </c>
      <c r="G14" s="62">
        <f t="shared" si="3"/>
        <v>-5</v>
      </c>
      <c r="H14" s="71">
        <f t="shared" si="4"/>
        <v>223.52941176470588</v>
      </c>
      <c r="I14" s="67">
        <f t="shared" si="5"/>
        <v>-55.555555555555557</v>
      </c>
    </row>
    <row r="15" spans="1:9" ht="19.95" customHeight="1">
      <c r="A15" s="69" t="s">
        <v>465</v>
      </c>
      <c r="B15" s="60">
        <v>1426</v>
      </c>
      <c r="C15" s="60">
        <v>8</v>
      </c>
      <c r="D15" s="62">
        <v>1065</v>
      </c>
      <c r="E15" s="62">
        <v>0</v>
      </c>
      <c r="F15" s="62">
        <f t="shared" si="6"/>
        <v>361</v>
      </c>
      <c r="G15" s="62">
        <f t="shared" si="3"/>
        <v>8</v>
      </c>
      <c r="H15" s="71">
        <f t="shared" si="4"/>
        <v>33.896713615023472</v>
      </c>
      <c r="I15" s="67"/>
    </row>
    <row r="16" spans="1:9" ht="19.95" customHeight="1">
      <c r="A16" s="59" t="s">
        <v>466</v>
      </c>
      <c r="B16" s="60">
        <f>4543-1164</f>
        <v>3379</v>
      </c>
      <c r="C16" s="60">
        <f>1860-379</f>
        <v>1481</v>
      </c>
      <c r="D16" s="62">
        <v>0</v>
      </c>
      <c r="E16" s="62">
        <v>0</v>
      </c>
      <c r="F16" s="62">
        <f t="shared" si="6"/>
        <v>3379</v>
      </c>
      <c r="G16" s="62">
        <f t="shared" si="3"/>
        <v>1481</v>
      </c>
      <c r="H16" s="71"/>
      <c r="I16" s="67"/>
    </row>
    <row r="17" spans="1:9" ht="19.95" customHeight="1">
      <c r="A17" s="59" t="s">
        <v>467</v>
      </c>
      <c r="B17" s="60">
        <f>112-18</f>
        <v>94</v>
      </c>
      <c r="C17" s="60">
        <f>27-18</f>
        <v>9</v>
      </c>
      <c r="D17" s="58">
        <f>57-18</f>
        <v>39</v>
      </c>
      <c r="E17" s="58">
        <f>57-18</f>
        <v>39</v>
      </c>
      <c r="F17" s="62">
        <f t="shared" si="6"/>
        <v>55</v>
      </c>
      <c r="G17" s="62">
        <f t="shared" si="3"/>
        <v>-30</v>
      </c>
      <c r="H17" s="71">
        <f t="shared" si="4"/>
        <v>141.02564102564102</v>
      </c>
      <c r="I17" s="67">
        <f t="shared" si="5"/>
        <v>-76.923076923076934</v>
      </c>
    </row>
    <row r="18" spans="1:9" ht="19.95" customHeight="1">
      <c r="A18" s="59" t="s">
        <v>468</v>
      </c>
      <c r="B18" s="60">
        <f>554-60</f>
        <v>494</v>
      </c>
      <c r="C18" s="60">
        <f>172-60</f>
        <v>112</v>
      </c>
      <c r="D18" s="58">
        <f>474-60</f>
        <v>414</v>
      </c>
      <c r="E18" s="58">
        <f>474-60</f>
        <v>414</v>
      </c>
      <c r="F18" s="62">
        <f t="shared" si="6"/>
        <v>80</v>
      </c>
      <c r="G18" s="62">
        <f t="shared" si="3"/>
        <v>-302</v>
      </c>
      <c r="H18" s="71">
        <f t="shared" si="4"/>
        <v>19.323671497584542</v>
      </c>
      <c r="I18" s="67">
        <f t="shared" si="5"/>
        <v>-72.94685990338165</v>
      </c>
    </row>
    <row r="19" spans="1:9" ht="19.95" customHeight="1">
      <c r="A19" s="59" t="s">
        <v>469</v>
      </c>
      <c r="B19" s="60">
        <f>2745-387</f>
        <v>2358</v>
      </c>
      <c r="C19" s="60">
        <f>220-154</f>
        <v>66</v>
      </c>
      <c r="D19" s="58">
        <f>1039-387</f>
        <v>652</v>
      </c>
      <c r="E19" s="58">
        <v>79</v>
      </c>
      <c r="F19" s="62">
        <f t="shared" si="6"/>
        <v>1706</v>
      </c>
      <c r="G19" s="62">
        <f t="shared" si="3"/>
        <v>-13</v>
      </c>
      <c r="H19" s="71">
        <f t="shared" si="4"/>
        <v>261.65644171779144</v>
      </c>
      <c r="I19" s="67">
        <f t="shared" si="5"/>
        <v>-16.455696202531644</v>
      </c>
    </row>
    <row r="20" spans="1:9" ht="19.95" customHeight="1">
      <c r="A20" s="59" t="s">
        <v>470</v>
      </c>
      <c r="B20" s="60">
        <f>1435-240</f>
        <v>1195</v>
      </c>
      <c r="C20" s="60">
        <f>470-193</f>
        <v>277</v>
      </c>
      <c r="D20" s="58">
        <f>9383-240</f>
        <v>9143</v>
      </c>
      <c r="E20" s="58">
        <v>118</v>
      </c>
      <c r="F20" s="62">
        <f t="shared" si="6"/>
        <v>-7948</v>
      </c>
      <c r="G20" s="62">
        <f t="shared" si="3"/>
        <v>159</v>
      </c>
      <c r="H20" s="71">
        <f t="shared" si="4"/>
        <v>-86.929891720441859</v>
      </c>
      <c r="I20" s="67">
        <f t="shared" si="5"/>
        <v>134.74576271186442</v>
      </c>
    </row>
    <row r="21" spans="1:9" ht="19.95" customHeight="1">
      <c r="A21" s="61" t="s">
        <v>471</v>
      </c>
      <c r="B21" s="60">
        <f>SUM(B22:B28)</f>
        <v>30387</v>
      </c>
      <c r="C21" s="60">
        <f t="shared" ref="C21:E21" si="8">SUM(C22:C28)</f>
        <v>37</v>
      </c>
      <c r="D21" s="60">
        <f t="shared" si="8"/>
        <v>31852</v>
      </c>
      <c r="E21" s="60">
        <f t="shared" si="8"/>
        <v>0</v>
      </c>
      <c r="F21" s="62">
        <f t="shared" si="6"/>
        <v>-1465</v>
      </c>
      <c r="G21" s="62">
        <f t="shared" si="3"/>
        <v>37</v>
      </c>
      <c r="H21" s="71">
        <f t="shared" si="4"/>
        <v>-4.5993972121059903</v>
      </c>
      <c r="I21" s="67"/>
    </row>
    <row r="22" spans="1:9" ht="19.95" customHeight="1">
      <c r="A22" s="69" t="s">
        <v>472</v>
      </c>
      <c r="B22" s="60">
        <v>86</v>
      </c>
      <c r="C22" s="60"/>
      <c r="D22" s="62"/>
      <c r="E22" s="62"/>
      <c r="F22" s="62">
        <f t="shared" si="6"/>
        <v>86</v>
      </c>
      <c r="G22" s="62">
        <f t="shared" si="3"/>
        <v>0</v>
      </c>
      <c r="H22" s="71"/>
      <c r="I22" s="67"/>
    </row>
    <row r="23" spans="1:9" ht="19.95" customHeight="1">
      <c r="A23" s="59" t="s">
        <v>473</v>
      </c>
      <c r="B23" s="60">
        <f>39202-13279</f>
        <v>25923</v>
      </c>
      <c r="C23" s="62">
        <v>0</v>
      </c>
      <c r="D23" s="66">
        <f>39389-3593-7279</f>
        <v>28517</v>
      </c>
      <c r="E23" s="62">
        <v>0</v>
      </c>
      <c r="F23" s="62">
        <f t="shared" si="6"/>
        <v>-2594</v>
      </c>
      <c r="G23" s="62">
        <f t="shared" si="3"/>
        <v>0</v>
      </c>
      <c r="H23" s="71">
        <f t="shared" si="4"/>
        <v>-9.0963285058035552</v>
      </c>
      <c r="I23" s="67"/>
    </row>
    <row r="24" spans="1:9" ht="19.95" customHeight="1">
      <c r="A24" s="69" t="s">
        <v>474</v>
      </c>
      <c r="B24" s="60">
        <v>34</v>
      </c>
      <c r="C24" s="60">
        <v>0</v>
      </c>
      <c r="D24" s="62"/>
      <c r="E24" s="62"/>
      <c r="F24" s="62">
        <f t="shared" si="6"/>
        <v>34</v>
      </c>
      <c r="G24" s="62">
        <f t="shared" si="3"/>
        <v>0</v>
      </c>
      <c r="H24" s="71"/>
      <c r="I24" s="67"/>
    </row>
    <row r="25" spans="1:9" ht="19.95" customHeight="1">
      <c r="A25" s="69" t="s">
        <v>475</v>
      </c>
      <c r="B25" s="60">
        <v>317</v>
      </c>
      <c r="C25" s="60">
        <v>0</v>
      </c>
      <c r="D25" s="62">
        <v>600</v>
      </c>
      <c r="E25" s="62"/>
      <c r="F25" s="62">
        <f t="shared" si="6"/>
        <v>-283</v>
      </c>
      <c r="G25" s="62">
        <f t="shared" si="3"/>
        <v>0</v>
      </c>
      <c r="H25" s="71">
        <f t="shared" si="4"/>
        <v>-47.166666666666671</v>
      </c>
      <c r="I25" s="67"/>
    </row>
    <row r="26" spans="1:9" ht="19.95" customHeight="1">
      <c r="A26" s="69" t="s">
        <v>476</v>
      </c>
      <c r="B26" s="60">
        <f>1004-22</f>
        <v>982</v>
      </c>
      <c r="C26" s="62">
        <v>37</v>
      </c>
      <c r="D26" s="62">
        <v>16</v>
      </c>
      <c r="E26" s="62"/>
      <c r="F26" s="62">
        <f t="shared" si="6"/>
        <v>966</v>
      </c>
      <c r="G26" s="62">
        <f t="shared" si="3"/>
        <v>37</v>
      </c>
      <c r="H26" s="71">
        <f t="shared" si="4"/>
        <v>6037.5</v>
      </c>
      <c r="I26" s="67"/>
    </row>
    <row r="27" spans="1:9" ht="19.95" customHeight="1">
      <c r="A27" s="69" t="s">
        <v>477</v>
      </c>
      <c r="B27" s="60">
        <f>1115-453</f>
        <v>662</v>
      </c>
      <c r="C27" s="60">
        <v>0</v>
      </c>
      <c r="D27" s="62">
        <f>1880-453</f>
        <v>1427</v>
      </c>
      <c r="E27" s="62"/>
      <c r="F27" s="62">
        <f t="shared" si="6"/>
        <v>-765</v>
      </c>
      <c r="G27" s="62">
        <f t="shared" si="3"/>
        <v>0</v>
      </c>
      <c r="H27" s="71">
        <f t="shared" si="4"/>
        <v>-53.608969866853542</v>
      </c>
      <c r="I27" s="67"/>
    </row>
    <row r="28" spans="1:9" ht="19.95" customHeight="1">
      <c r="A28" s="59" t="s">
        <v>478</v>
      </c>
      <c r="B28" s="60">
        <f>2490-107</f>
        <v>2383</v>
      </c>
      <c r="C28" s="60"/>
      <c r="D28" s="62">
        <f>1399-107</f>
        <v>1292</v>
      </c>
      <c r="E28" s="62"/>
      <c r="F28" s="62">
        <f t="shared" si="6"/>
        <v>1091</v>
      </c>
      <c r="G28" s="62">
        <f t="shared" si="3"/>
        <v>0</v>
      </c>
      <c r="H28" s="71">
        <f t="shared" si="4"/>
        <v>84.442724458204339</v>
      </c>
      <c r="I28" s="67"/>
    </row>
    <row r="29" spans="1:9" ht="19.95" customHeight="1">
      <c r="A29" s="57" t="s">
        <v>479</v>
      </c>
      <c r="B29" s="62">
        <f>B30</f>
        <v>929</v>
      </c>
      <c r="C29" s="62">
        <v>0</v>
      </c>
      <c r="D29" s="62">
        <v>0</v>
      </c>
      <c r="E29" s="62">
        <v>0</v>
      </c>
      <c r="F29" s="62">
        <f t="shared" si="6"/>
        <v>929</v>
      </c>
      <c r="G29" s="62">
        <f t="shared" si="3"/>
        <v>0</v>
      </c>
      <c r="H29" s="71"/>
      <c r="I29" s="67"/>
    </row>
    <row r="30" spans="1:9" ht="19.95" customHeight="1">
      <c r="A30" s="69" t="s">
        <v>476</v>
      </c>
      <c r="B30" s="60">
        <v>929</v>
      </c>
      <c r="C30" s="60"/>
      <c r="D30" s="62"/>
      <c r="E30" s="62"/>
      <c r="F30" s="62">
        <f t="shared" si="6"/>
        <v>929</v>
      </c>
      <c r="G30" s="62">
        <f t="shared" si="3"/>
        <v>0</v>
      </c>
      <c r="H30" s="71"/>
      <c r="I30" s="67"/>
    </row>
    <row r="31" spans="1:9" ht="19.95" customHeight="1">
      <c r="A31" s="61" t="s">
        <v>480</v>
      </c>
      <c r="B31" s="60">
        <f>SUM(B32:B34)</f>
        <v>68422</v>
      </c>
      <c r="C31" s="60">
        <f t="shared" ref="C31:E31" si="9">SUM(C32:C34)</f>
        <v>51492</v>
      </c>
      <c r="D31" s="60">
        <f t="shared" si="9"/>
        <v>57102</v>
      </c>
      <c r="E31" s="60">
        <f t="shared" si="9"/>
        <v>45670</v>
      </c>
      <c r="F31" s="62">
        <f t="shared" si="6"/>
        <v>11320</v>
      </c>
      <c r="G31" s="62">
        <f t="shared" si="3"/>
        <v>5822</v>
      </c>
      <c r="H31" s="71">
        <f t="shared" si="4"/>
        <v>19.824174284613498</v>
      </c>
      <c r="I31" s="67">
        <f t="shared" si="5"/>
        <v>12.747974600394132</v>
      </c>
    </row>
    <row r="32" spans="1:9" ht="19.95" customHeight="1">
      <c r="A32" s="59" t="s">
        <v>481</v>
      </c>
      <c r="B32" s="60">
        <v>47187</v>
      </c>
      <c r="C32" s="60">
        <v>47187</v>
      </c>
      <c r="D32" s="66">
        <v>43258</v>
      </c>
      <c r="E32" s="66">
        <v>43258</v>
      </c>
      <c r="F32" s="62">
        <f t="shared" si="6"/>
        <v>3929</v>
      </c>
      <c r="G32" s="62">
        <f t="shared" si="3"/>
        <v>3929</v>
      </c>
      <c r="H32" s="71">
        <f t="shared" si="4"/>
        <v>9.0827130241804976</v>
      </c>
      <c r="I32" s="67">
        <f t="shared" si="5"/>
        <v>9.0827130241804976</v>
      </c>
    </row>
    <row r="33" spans="1:9" ht="19.95" customHeight="1">
      <c r="A33" s="59" t="s">
        <v>482</v>
      </c>
      <c r="B33" s="60">
        <v>21187</v>
      </c>
      <c r="C33" s="60">
        <v>4305</v>
      </c>
      <c r="D33" s="58">
        <v>8948</v>
      </c>
      <c r="E33" s="58">
        <v>2412</v>
      </c>
      <c r="F33" s="62">
        <f t="shared" si="6"/>
        <v>12239</v>
      </c>
      <c r="G33" s="62">
        <f t="shared" si="3"/>
        <v>1893</v>
      </c>
      <c r="H33" s="71">
        <f t="shared" si="4"/>
        <v>136.7791685292803</v>
      </c>
      <c r="I33" s="67">
        <f t="shared" si="5"/>
        <v>78.482587064676608</v>
      </c>
    </row>
    <row r="34" spans="1:9" ht="19.95" customHeight="1">
      <c r="A34" s="59" t="s">
        <v>483</v>
      </c>
      <c r="B34" s="56">
        <v>48</v>
      </c>
      <c r="C34" s="65"/>
      <c r="D34" s="66">
        <v>4896</v>
      </c>
      <c r="E34" s="58"/>
      <c r="F34" s="62">
        <f t="shared" si="6"/>
        <v>-4848</v>
      </c>
      <c r="G34" s="62">
        <f t="shared" si="3"/>
        <v>0</v>
      </c>
      <c r="H34" s="71">
        <f t="shared" si="4"/>
        <v>-99.019607843137265</v>
      </c>
      <c r="I34" s="67"/>
    </row>
    <row r="35" spans="1:9" ht="19.95" customHeight="1">
      <c r="A35" s="57" t="s">
        <v>484</v>
      </c>
      <c r="B35" s="62">
        <f>SUM(B36:B37)</f>
        <v>15503</v>
      </c>
      <c r="C35" s="62">
        <f t="shared" ref="C35:E35" si="10">SUM(C36:C37)</f>
        <v>0</v>
      </c>
      <c r="D35" s="62">
        <f t="shared" si="10"/>
        <v>23089</v>
      </c>
      <c r="E35" s="62">
        <f t="shared" si="10"/>
        <v>0</v>
      </c>
      <c r="F35" s="62">
        <f t="shared" si="6"/>
        <v>-7586</v>
      </c>
      <c r="G35" s="62">
        <f t="shared" si="3"/>
        <v>0</v>
      </c>
      <c r="H35" s="71">
        <f t="shared" si="4"/>
        <v>-32.85547230282819</v>
      </c>
      <c r="I35" s="67"/>
    </row>
    <row r="36" spans="1:9" ht="19.95" customHeight="1">
      <c r="A36" s="69" t="s">
        <v>485</v>
      </c>
      <c r="B36" s="60">
        <v>2564</v>
      </c>
      <c r="C36" s="60"/>
      <c r="D36" s="62">
        <v>6980</v>
      </c>
      <c r="E36" s="62"/>
      <c r="F36" s="62">
        <f t="shared" si="6"/>
        <v>-4416</v>
      </c>
      <c r="G36" s="62">
        <f t="shared" si="3"/>
        <v>0</v>
      </c>
      <c r="H36" s="71">
        <f t="shared" si="4"/>
        <v>-63.266475644699142</v>
      </c>
      <c r="I36" s="67"/>
    </row>
    <row r="37" spans="1:9" ht="19.95" customHeight="1">
      <c r="A37" s="69" t="s">
        <v>486</v>
      </c>
      <c r="B37" s="60">
        <v>12939</v>
      </c>
      <c r="C37" s="60"/>
      <c r="D37" s="62">
        <v>16109</v>
      </c>
      <c r="E37" s="62"/>
      <c r="F37" s="62">
        <f t="shared" si="6"/>
        <v>-3170</v>
      </c>
      <c r="G37" s="62">
        <f t="shared" si="3"/>
        <v>0</v>
      </c>
      <c r="H37" s="71">
        <f t="shared" si="4"/>
        <v>-19.678440623254083</v>
      </c>
      <c r="I37" s="67"/>
    </row>
    <row r="38" spans="1:9" ht="19.95" customHeight="1">
      <c r="A38" s="57" t="s">
        <v>487</v>
      </c>
      <c r="B38" s="60">
        <f>SUM(B39:B41)</f>
        <v>5990</v>
      </c>
      <c r="C38" s="60">
        <f t="shared" ref="C38:E38" si="11">SUM(C39:C41)</f>
        <v>0</v>
      </c>
      <c r="D38" s="60">
        <f t="shared" si="11"/>
        <v>7991</v>
      </c>
      <c r="E38" s="60">
        <f t="shared" si="11"/>
        <v>0</v>
      </c>
      <c r="F38" s="62">
        <f t="shared" si="6"/>
        <v>-2001</v>
      </c>
      <c r="G38" s="62">
        <f t="shared" si="3"/>
        <v>0</v>
      </c>
      <c r="H38" s="71">
        <f t="shared" si="4"/>
        <v>-25.040670754598928</v>
      </c>
      <c r="I38" s="67"/>
    </row>
    <row r="39" spans="1:9" ht="19.95" customHeight="1">
      <c r="A39" s="69" t="s">
        <v>488</v>
      </c>
      <c r="B39" s="60">
        <v>1555</v>
      </c>
      <c r="C39" s="60"/>
      <c r="D39" s="62"/>
      <c r="E39" s="62"/>
      <c r="F39" s="62">
        <f t="shared" si="6"/>
        <v>1555</v>
      </c>
      <c r="G39" s="62">
        <f t="shared" si="3"/>
        <v>0</v>
      </c>
      <c r="H39" s="71"/>
      <c r="I39" s="67"/>
    </row>
    <row r="40" spans="1:9" ht="19.95" customHeight="1">
      <c r="A40" s="69" t="s">
        <v>489</v>
      </c>
      <c r="B40" s="60">
        <v>1122</v>
      </c>
      <c r="C40" s="60"/>
      <c r="D40" s="62">
        <v>1592</v>
      </c>
      <c r="E40" s="62"/>
      <c r="F40" s="62">
        <f t="shared" si="6"/>
        <v>-470</v>
      </c>
      <c r="G40" s="62">
        <f t="shared" si="3"/>
        <v>0</v>
      </c>
      <c r="H40" s="71">
        <f t="shared" si="4"/>
        <v>-29.522613065326631</v>
      </c>
      <c r="I40" s="67"/>
    </row>
    <row r="41" spans="1:9" ht="19.95" customHeight="1">
      <c r="A41" s="69" t="s">
        <v>490</v>
      </c>
      <c r="B41" s="60">
        <v>3313</v>
      </c>
      <c r="C41" s="62"/>
      <c r="D41" s="62">
        <v>6399</v>
      </c>
      <c r="E41" s="62"/>
      <c r="F41" s="62">
        <f t="shared" si="6"/>
        <v>-3086</v>
      </c>
      <c r="G41" s="62">
        <f t="shared" si="3"/>
        <v>0</v>
      </c>
      <c r="H41" s="71">
        <f t="shared" si="4"/>
        <v>-48.226285357087043</v>
      </c>
      <c r="I41" s="67"/>
    </row>
    <row r="42" spans="1:9" ht="19.95" customHeight="1">
      <c r="A42" s="61" t="s">
        <v>491</v>
      </c>
      <c r="B42" s="60">
        <f>SUM(B43:B47)</f>
        <v>35177</v>
      </c>
      <c r="C42" s="60">
        <f t="shared" ref="C42:E42" si="12">SUM(C43:C47)</f>
        <v>5469</v>
      </c>
      <c r="D42" s="60">
        <f t="shared" si="12"/>
        <v>51888</v>
      </c>
      <c r="E42" s="60">
        <f t="shared" si="12"/>
        <v>8834</v>
      </c>
      <c r="F42" s="62">
        <f t="shared" si="6"/>
        <v>-16711</v>
      </c>
      <c r="G42" s="62">
        <f t="shared" si="3"/>
        <v>-3365</v>
      </c>
      <c r="H42" s="71">
        <f t="shared" si="4"/>
        <v>-32.205905026210296</v>
      </c>
      <c r="I42" s="67">
        <f t="shared" si="5"/>
        <v>-38.0914647951098</v>
      </c>
    </row>
    <row r="43" spans="1:9" ht="19.95" customHeight="1">
      <c r="A43" s="59" t="s">
        <v>492</v>
      </c>
      <c r="B43" s="60">
        <f>22753-3008</f>
        <v>19745</v>
      </c>
      <c r="C43" s="60">
        <f>4901-1035</f>
        <v>3866</v>
      </c>
      <c r="D43" s="58">
        <f>33292-3008</f>
        <v>30284</v>
      </c>
      <c r="E43" s="58">
        <f>8330-1035</f>
        <v>7295</v>
      </c>
      <c r="F43" s="62">
        <f t="shared" si="6"/>
        <v>-10539</v>
      </c>
      <c r="G43" s="62">
        <f t="shared" si="3"/>
        <v>-3429</v>
      </c>
      <c r="H43" s="71">
        <f t="shared" si="4"/>
        <v>-34.800554748381984</v>
      </c>
      <c r="I43" s="67">
        <f t="shared" si="5"/>
        <v>-47.00479780671693</v>
      </c>
    </row>
    <row r="44" spans="1:9" ht="19.95" customHeight="1">
      <c r="A44" s="69" t="s">
        <v>493</v>
      </c>
      <c r="B44" s="60">
        <v>362</v>
      </c>
      <c r="C44" s="60">
        <v>0</v>
      </c>
      <c r="D44" s="62">
        <v>178</v>
      </c>
      <c r="E44" s="62"/>
      <c r="F44" s="62">
        <f t="shared" si="6"/>
        <v>184</v>
      </c>
      <c r="G44" s="62">
        <f t="shared" si="3"/>
        <v>0</v>
      </c>
      <c r="H44" s="71">
        <f t="shared" si="4"/>
        <v>103.37078651685394</v>
      </c>
      <c r="I44" s="67"/>
    </row>
    <row r="45" spans="1:9" ht="19.95" customHeight="1">
      <c r="A45" s="69" t="s">
        <v>494</v>
      </c>
      <c r="B45" s="60">
        <v>12522</v>
      </c>
      <c r="C45" s="60">
        <v>0</v>
      </c>
      <c r="D45" s="62">
        <v>16751</v>
      </c>
      <c r="E45" s="62"/>
      <c r="F45" s="62">
        <f t="shared" si="6"/>
        <v>-4229</v>
      </c>
      <c r="G45" s="62">
        <f t="shared" si="3"/>
        <v>0</v>
      </c>
      <c r="H45" s="71">
        <f t="shared" si="4"/>
        <v>-25.246253954987765</v>
      </c>
      <c r="I45" s="67"/>
    </row>
    <row r="46" spans="1:9" ht="19.95" customHeight="1">
      <c r="A46" s="59" t="s">
        <v>495</v>
      </c>
      <c r="B46" s="60">
        <f>1684-101</f>
        <v>1583</v>
      </c>
      <c r="C46" s="60">
        <f>1683-101</f>
        <v>1582</v>
      </c>
      <c r="D46" s="58">
        <f>1636-101</f>
        <v>1535</v>
      </c>
      <c r="E46" s="58">
        <f>1636-101</f>
        <v>1535</v>
      </c>
      <c r="F46" s="62">
        <f t="shared" si="6"/>
        <v>48</v>
      </c>
      <c r="G46" s="62">
        <f t="shared" si="3"/>
        <v>47</v>
      </c>
      <c r="H46" s="71">
        <f t="shared" si="4"/>
        <v>3.1270358306188926</v>
      </c>
      <c r="I46" s="67">
        <f t="shared" si="5"/>
        <v>3.0618892508143323</v>
      </c>
    </row>
    <row r="47" spans="1:9" ht="19.95" customHeight="1">
      <c r="A47" s="59" t="s">
        <v>496</v>
      </c>
      <c r="B47" s="60">
        <f>983-18</f>
        <v>965</v>
      </c>
      <c r="C47" s="60">
        <f>38-17</f>
        <v>21</v>
      </c>
      <c r="D47" s="60">
        <f>3158-18</f>
        <v>3140</v>
      </c>
      <c r="E47" s="60">
        <f>21-17</f>
        <v>4</v>
      </c>
      <c r="F47" s="62">
        <f t="shared" si="6"/>
        <v>-2175</v>
      </c>
      <c r="G47" s="62">
        <f t="shared" si="3"/>
        <v>17</v>
      </c>
      <c r="H47" s="71">
        <f t="shared" si="4"/>
        <v>-69.267515923566876</v>
      </c>
      <c r="I47" s="67">
        <f t="shared" si="5"/>
        <v>425</v>
      </c>
    </row>
    <row r="48" spans="1:9" ht="19.95" customHeight="1">
      <c r="A48" s="61" t="s">
        <v>497</v>
      </c>
      <c r="B48" s="60">
        <f>B49</f>
        <v>31889</v>
      </c>
      <c r="C48" s="60">
        <f t="shared" ref="C48:E48" si="13">C49</f>
        <v>0</v>
      </c>
      <c r="D48" s="60">
        <f t="shared" si="13"/>
        <v>21331</v>
      </c>
      <c r="E48" s="60">
        <f t="shared" si="13"/>
        <v>0</v>
      </c>
      <c r="F48" s="62">
        <f t="shared" si="6"/>
        <v>10558</v>
      </c>
      <c r="G48" s="62">
        <f t="shared" si="3"/>
        <v>0</v>
      </c>
      <c r="H48" s="71">
        <f t="shared" si="4"/>
        <v>49.496038629225069</v>
      </c>
      <c r="I48" s="67"/>
    </row>
    <row r="49" spans="1:9" ht="19.95" customHeight="1">
      <c r="A49" s="59" t="s">
        <v>498</v>
      </c>
      <c r="B49" s="60">
        <v>31889</v>
      </c>
      <c r="C49" s="60"/>
      <c r="D49" s="66">
        <v>21331</v>
      </c>
      <c r="E49" s="60"/>
      <c r="F49" s="62">
        <f t="shared" si="6"/>
        <v>10558</v>
      </c>
      <c r="G49" s="62">
        <f t="shared" si="3"/>
        <v>0</v>
      </c>
      <c r="H49" s="71">
        <f t="shared" si="4"/>
        <v>49.496038629225069</v>
      </c>
      <c r="I49" s="67"/>
    </row>
    <row r="50" spans="1:9" ht="19.95" customHeight="1">
      <c r="A50" s="61" t="s">
        <v>499</v>
      </c>
      <c r="B50" s="62">
        <f>SUM(B51:B52)</f>
        <v>1503</v>
      </c>
      <c r="C50" s="62">
        <f t="shared" ref="C50:E50" si="14">SUM(C51:C52)</f>
        <v>0</v>
      </c>
      <c r="D50" s="62">
        <f t="shared" si="14"/>
        <v>2612</v>
      </c>
      <c r="E50" s="62">
        <f t="shared" si="14"/>
        <v>0</v>
      </c>
      <c r="F50" s="62">
        <f t="shared" si="6"/>
        <v>-1109</v>
      </c>
      <c r="G50" s="62">
        <f t="shared" si="3"/>
        <v>0</v>
      </c>
      <c r="H50" s="71">
        <f t="shared" si="4"/>
        <v>-42.457886676875958</v>
      </c>
      <c r="I50" s="67"/>
    </row>
    <row r="51" spans="1:9" ht="19.95" customHeight="1">
      <c r="A51" s="59" t="s">
        <v>500</v>
      </c>
      <c r="B51" s="60">
        <v>1490</v>
      </c>
      <c r="C51" s="60">
        <v>0</v>
      </c>
      <c r="D51" s="55">
        <v>2599</v>
      </c>
      <c r="E51" s="60">
        <v>0</v>
      </c>
      <c r="F51" s="62">
        <f t="shared" si="6"/>
        <v>-1109</v>
      </c>
      <c r="G51" s="62">
        <f t="shared" si="3"/>
        <v>0</v>
      </c>
      <c r="H51" s="71">
        <f t="shared" si="4"/>
        <v>-42.670257791458255</v>
      </c>
      <c r="I51" s="67"/>
    </row>
    <row r="52" spans="1:9" ht="19.95" customHeight="1">
      <c r="A52" s="59" t="s">
        <v>501</v>
      </c>
      <c r="B52" s="60">
        <v>13</v>
      </c>
      <c r="C52" s="60">
        <v>0</v>
      </c>
      <c r="D52" s="55">
        <v>13</v>
      </c>
      <c r="E52" s="62">
        <v>0</v>
      </c>
      <c r="F52" s="62">
        <f t="shared" si="6"/>
        <v>0</v>
      </c>
      <c r="G52" s="62">
        <f t="shared" si="3"/>
        <v>0</v>
      </c>
      <c r="H52" s="71">
        <f t="shared" si="4"/>
        <v>0</v>
      </c>
      <c r="I52" s="67"/>
    </row>
    <row r="53" spans="1:9" ht="19.95" customHeight="1">
      <c r="A53" s="57" t="s">
        <v>502</v>
      </c>
      <c r="B53" s="62">
        <f>B54</f>
        <v>0</v>
      </c>
      <c r="C53" s="62">
        <f t="shared" ref="C53:E53" si="15">C54</f>
        <v>0</v>
      </c>
      <c r="D53" s="62">
        <f t="shared" si="15"/>
        <v>0</v>
      </c>
      <c r="E53" s="62">
        <f t="shared" si="15"/>
        <v>0</v>
      </c>
      <c r="F53" s="62">
        <f t="shared" si="6"/>
        <v>0</v>
      </c>
      <c r="G53" s="62">
        <f t="shared" si="3"/>
        <v>0</v>
      </c>
      <c r="H53" s="71"/>
      <c r="I53" s="67"/>
    </row>
    <row r="54" spans="1:9" ht="19.95" customHeight="1" thickBot="1">
      <c r="A54" s="64" t="s">
        <v>503</v>
      </c>
      <c r="B54" s="54"/>
      <c r="C54" s="54"/>
      <c r="D54" s="63"/>
      <c r="E54" s="63"/>
      <c r="F54" s="63">
        <f t="shared" si="6"/>
        <v>0</v>
      </c>
      <c r="G54" s="63">
        <f t="shared" si="3"/>
        <v>0</v>
      </c>
      <c r="H54" s="53"/>
      <c r="I54" s="52"/>
    </row>
  </sheetData>
  <mergeCells count="6">
    <mergeCell ref="A1:I1"/>
    <mergeCell ref="A3:A4"/>
    <mergeCell ref="B3:C3"/>
    <mergeCell ref="D3:E3"/>
    <mergeCell ref="F3:G3"/>
    <mergeCell ref="H3:I3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showZeros="0" workbookViewId="0">
      <selection activeCell="B6" sqref="B6:B8"/>
    </sheetView>
  </sheetViews>
  <sheetFormatPr defaultColWidth="9.375" defaultRowHeight="10.8"/>
  <cols>
    <col min="1" max="1" width="42" customWidth="1"/>
    <col min="2" max="2" width="19.625" customWidth="1"/>
    <col min="3" max="3" width="40.625" customWidth="1"/>
    <col min="4" max="4" width="23.5" customWidth="1"/>
    <col min="5" max="5" width="9.375" hidden="1" customWidth="1"/>
    <col min="6" max="6" width="21.5" bestFit="1" customWidth="1"/>
    <col min="7" max="32" width="12" customWidth="1"/>
  </cols>
  <sheetData>
    <row r="1" spans="1:6" ht="54" customHeight="1">
      <c r="A1" s="93" t="s">
        <v>690</v>
      </c>
      <c r="B1" s="93"/>
      <c r="C1" s="93"/>
      <c r="D1" s="93"/>
    </row>
    <row r="2" spans="1:6" ht="27.75" customHeight="1" thickBot="1">
      <c r="D2" t="s">
        <v>504</v>
      </c>
    </row>
    <row r="3" spans="1:6" ht="24" customHeight="1">
      <c r="A3" s="7" t="s">
        <v>30</v>
      </c>
      <c r="B3" s="8" t="s">
        <v>505</v>
      </c>
      <c r="C3" s="8" t="s">
        <v>30</v>
      </c>
      <c r="D3" s="9" t="s">
        <v>505</v>
      </c>
    </row>
    <row r="4" spans="1:6" ht="30" customHeight="1">
      <c r="A4" s="19" t="s">
        <v>596</v>
      </c>
      <c r="B4" s="28">
        <f>67784-33778</f>
        <v>34006</v>
      </c>
      <c r="C4" s="3" t="s">
        <v>597</v>
      </c>
      <c r="D4" s="29">
        <f>242810-25910</f>
        <v>216900</v>
      </c>
    </row>
    <row r="5" spans="1:6" ht="30" customHeight="1">
      <c r="A5" s="22" t="s">
        <v>506</v>
      </c>
      <c r="B5" s="28">
        <f>SUM(B6:B12)</f>
        <v>235981</v>
      </c>
      <c r="C5" s="3" t="s">
        <v>507</v>
      </c>
      <c r="D5" s="29">
        <f>SUM(D6:D7)</f>
        <v>24765</v>
      </c>
    </row>
    <row r="6" spans="1:6" ht="30" customHeight="1">
      <c r="A6" s="19" t="s">
        <v>508</v>
      </c>
      <c r="B6" s="3">
        <f>4984-633</f>
        <v>4351</v>
      </c>
      <c r="C6" s="3" t="s">
        <v>509</v>
      </c>
      <c r="D6" s="20">
        <f>24424-19132</f>
        <v>5292</v>
      </c>
    </row>
    <row r="7" spans="1:6" ht="30" customHeight="1">
      <c r="A7" s="19" t="s">
        <v>510</v>
      </c>
      <c r="B7" s="3">
        <f>192511-10631</f>
        <v>181880</v>
      </c>
      <c r="C7" s="3" t="s">
        <v>511</v>
      </c>
      <c r="D7" s="20">
        <v>19473</v>
      </c>
    </row>
    <row r="8" spans="1:6" ht="30" customHeight="1">
      <c r="A8" s="19" t="s">
        <v>512</v>
      </c>
      <c r="B8" s="3">
        <v>29787</v>
      </c>
      <c r="C8" s="28" t="s">
        <v>513</v>
      </c>
      <c r="D8" s="29">
        <v>11470</v>
      </c>
    </row>
    <row r="9" spans="1:6" ht="30" customHeight="1">
      <c r="A9" s="19" t="s">
        <v>514</v>
      </c>
      <c r="B9" s="3">
        <v>2287</v>
      </c>
      <c r="C9" s="28" t="s">
        <v>515</v>
      </c>
      <c r="D9" s="29">
        <v>2882</v>
      </c>
    </row>
    <row r="10" spans="1:6" ht="30" customHeight="1">
      <c r="A10" s="19" t="s">
        <v>516</v>
      </c>
      <c r="B10" s="3">
        <v>389</v>
      </c>
      <c r="C10" s="28" t="s">
        <v>517</v>
      </c>
      <c r="D10" s="29">
        <v>13970</v>
      </c>
    </row>
    <row r="11" spans="1:6" ht="30" customHeight="1">
      <c r="A11" s="19" t="s">
        <v>518</v>
      </c>
      <c r="B11" s="3">
        <v>16469</v>
      </c>
      <c r="C11" s="3" t="s">
        <v>519</v>
      </c>
      <c r="D11" s="20">
        <v>13970</v>
      </c>
    </row>
    <row r="12" spans="1:6" ht="30" customHeight="1">
      <c r="A12" s="19" t="s">
        <v>663</v>
      </c>
      <c r="B12" s="3">
        <v>818</v>
      </c>
      <c r="C12" s="3"/>
      <c r="D12" s="20"/>
    </row>
    <row r="13" spans="1:6" ht="30" customHeight="1">
      <c r="A13" s="19"/>
      <c r="B13" s="3"/>
      <c r="C13" s="3"/>
      <c r="D13" s="20"/>
    </row>
    <row r="14" spans="1:6" ht="24.75" customHeight="1" thickBot="1">
      <c r="A14" s="31" t="s">
        <v>520</v>
      </c>
      <c r="B14" s="26">
        <f>B4+B5</f>
        <v>269987</v>
      </c>
      <c r="C14" s="30" t="s">
        <v>521</v>
      </c>
      <c r="D14" s="27">
        <f>D4+D5+D8+D9+D10</f>
        <v>269987</v>
      </c>
      <c r="F14">
        <f>B14-D14</f>
        <v>0</v>
      </c>
    </row>
  </sheetData>
  <mergeCells count="1">
    <mergeCell ref="A1:D1"/>
  </mergeCells>
  <phoneticPr fontId="0" type="noConversion"/>
  <printOptions horizontalCentered="1"/>
  <pageMargins left="1.299212598425197" right="0.74803149606299213" top="0.69" bottom="0.39370078740157483" header="0.35433070866141736" footer="0.15748031496062992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Zeros="0" workbookViewId="0">
      <pane xSplit="2" ySplit="3" topLeftCell="C4" activePane="bottomRight" state="frozen"/>
      <selection pane="topRight"/>
      <selection pane="bottomLeft"/>
      <selection pane="bottomRight" activeCell="F4" sqref="F4"/>
    </sheetView>
  </sheetViews>
  <sheetFormatPr defaultColWidth="9.375" defaultRowHeight="10.8"/>
  <cols>
    <col min="1" max="1" width="46" customWidth="1"/>
    <col min="2" max="2" width="18.875" customWidth="1"/>
    <col min="3" max="3" width="18.875" style="41" customWidth="1"/>
    <col min="4" max="4" width="18.375" customWidth="1"/>
    <col min="5" max="5" width="17.375" customWidth="1"/>
    <col min="6" max="6" width="15" customWidth="1"/>
    <col min="7" max="7" width="11.5" customWidth="1"/>
    <col min="9" max="9" width="12" customWidth="1"/>
  </cols>
  <sheetData>
    <row r="1" spans="1:7" ht="33.75" customHeight="1">
      <c r="A1" s="93" t="s">
        <v>691</v>
      </c>
      <c r="B1" s="93"/>
      <c r="C1" s="93"/>
      <c r="D1" s="93"/>
      <c r="E1" s="93"/>
      <c r="F1" s="93"/>
      <c r="G1" s="93"/>
    </row>
    <row r="2" spans="1:7" ht="37.5" customHeight="1" thickBot="1">
      <c r="A2" s="108"/>
      <c r="B2" s="108"/>
      <c r="C2" s="108"/>
      <c r="D2" s="108"/>
      <c r="G2" t="s">
        <v>1</v>
      </c>
    </row>
    <row r="3" spans="1:7" ht="46.5" customHeight="1">
      <c r="A3" s="76" t="s">
        <v>30</v>
      </c>
      <c r="B3" s="77" t="s">
        <v>664</v>
      </c>
      <c r="C3" s="77" t="s">
        <v>667</v>
      </c>
      <c r="D3" s="77" t="s">
        <v>595</v>
      </c>
      <c r="E3" s="84" t="s">
        <v>669</v>
      </c>
      <c r="F3" s="84" t="s">
        <v>662</v>
      </c>
      <c r="G3" s="78" t="s">
        <v>522</v>
      </c>
    </row>
    <row r="4" spans="1:7" ht="18" customHeight="1">
      <c r="A4" s="87" t="s">
        <v>523</v>
      </c>
      <c r="B4" s="75">
        <f>B5+B10+B44</f>
        <v>216018</v>
      </c>
      <c r="C4" s="75">
        <f>C5+C10+C44</f>
        <v>193351</v>
      </c>
      <c r="D4" s="75">
        <f>D5+D10+D44</f>
        <v>206990</v>
      </c>
      <c r="E4" s="85">
        <f>(B4-D4)/D4*100</f>
        <v>4.3615633605488187</v>
      </c>
      <c r="F4" s="85">
        <f>B4/C4*100</f>
        <v>111.72323908332515</v>
      </c>
      <c r="G4" s="80"/>
    </row>
    <row r="5" spans="1:7" ht="18" customHeight="1">
      <c r="A5" s="87" t="s">
        <v>524</v>
      </c>
      <c r="B5" s="75">
        <f>SUM(B6:B9)</f>
        <v>4351</v>
      </c>
      <c r="C5" s="75">
        <f>SUM(C6:C9)</f>
        <v>4351</v>
      </c>
      <c r="D5" s="75">
        <f>SUM(D6:D9)</f>
        <v>4351</v>
      </c>
      <c r="E5" s="85">
        <f t="shared" ref="E5:E65" si="0">(B5-D5)/D5*100</f>
        <v>0</v>
      </c>
      <c r="F5" s="85">
        <f t="shared" ref="F5:F64" si="1">B5/C5*100</f>
        <v>100</v>
      </c>
      <c r="G5" s="80"/>
    </row>
    <row r="6" spans="1:7" ht="18" customHeight="1">
      <c r="A6" s="79" t="s">
        <v>525</v>
      </c>
      <c r="B6" s="75">
        <v>2835</v>
      </c>
      <c r="C6" s="75">
        <v>2835</v>
      </c>
      <c r="D6" s="75">
        <v>2835</v>
      </c>
      <c r="E6" s="85">
        <f t="shared" si="0"/>
        <v>0</v>
      </c>
      <c r="F6" s="85">
        <f t="shared" si="1"/>
        <v>100</v>
      </c>
      <c r="G6" s="80"/>
    </row>
    <row r="7" spans="1:7" ht="18" customHeight="1">
      <c r="A7" s="79" t="s">
        <v>526</v>
      </c>
      <c r="B7" s="75">
        <v>1174</v>
      </c>
      <c r="C7" s="75">
        <v>1174</v>
      </c>
      <c r="D7" s="75">
        <v>1174</v>
      </c>
      <c r="E7" s="85">
        <f t="shared" si="0"/>
        <v>0</v>
      </c>
      <c r="F7" s="85">
        <f t="shared" si="1"/>
        <v>100</v>
      </c>
      <c r="G7" s="80"/>
    </row>
    <row r="8" spans="1:7" ht="18" customHeight="1">
      <c r="A8" s="79" t="s">
        <v>527</v>
      </c>
      <c r="B8" s="75">
        <f>975-633</f>
        <v>342</v>
      </c>
      <c r="C8" s="75">
        <v>342</v>
      </c>
      <c r="D8" s="75">
        <f>975-633</f>
        <v>342</v>
      </c>
      <c r="E8" s="85">
        <f t="shared" si="0"/>
        <v>0</v>
      </c>
      <c r="F8" s="85">
        <f t="shared" si="1"/>
        <v>100</v>
      </c>
      <c r="G8" s="80"/>
    </row>
    <row r="9" spans="1:7" ht="18" customHeight="1">
      <c r="A9" s="79" t="s">
        <v>528</v>
      </c>
      <c r="B9" s="75"/>
      <c r="C9" s="75"/>
      <c r="D9" s="75"/>
      <c r="E9" s="85"/>
      <c r="F9" s="85"/>
      <c r="G9" s="80"/>
    </row>
    <row r="10" spans="1:7" ht="18" customHeight="1">
      <c r="A10" s="87" t="s">
        <v>529</v>
      </c>
      <c r="B10" s="75">
        <f>SUM(B11:B43)</f>
        <v>181880</v>
      </c>
      <c r="C10" s="75">
        <f>SUM(C11:C43)</f>
        <v>149510</v>
      </c>
      <c r="D10" s="75">
        <f>SUM(D11:D43)</f>
        <v>169369</v>
      </c>
      <c r="E10" s="85">
        <f t="shared" si="0"/>
        <v>7.3868299393631656</v>
      </c>
      <c r="F10" s="85">
        <f t="shared" si="1"/>
        <v>121.65072570396629</v>
      </c>
      <c r="G10" s="80"/>
    </row>
    <row r="11" spans="1:7" ht="18" customHeight="1">
      <c r="A11" s="79" t="s">
        <v>530</v>
      </c>
      <c r="B11" s="75">
        <f>1598-108</f>
        <v>1490</v>
      </c>
      <c r="C11" s="75">
        <v>1490</v>
      </c>
      <c r="D11" s="89">
        <v>1490</v>
      </c>
      <c r="E11" s="85">
        <f t="shared" si="0"/>
        <v>0</v>
      </c>
      <c r="F11" s="85">
        <f t="shared" si="1"/>
        <v>100</v>
      </c>
      <c r="G11" s="80"/>
    </row>
    <row r="12" spans="1:7" ht="18" customHeight="1">
      <c r="A12" s="79" t="s">
        <v>531</v>
      </c>
      <c r="B12" s="75">
        <f>46041-5535</f>
        <v>40506</v>
      </c>
      <c r="C12" s="75">
        <v>39788</v>
      </c>
      <c r="D12" s="89">
        <v>30299</v>
      </c>
      <c r="E12" s="85">
        <f t="shared" si="0"/>
        <v>33.687580448199611</v>
      </c>
      <c r="F12" s="85">
        <f t="shared" si="1"/>
        <v>101.80456419020811</v>
      </c>
      <c r="G12" s="80"/>
    </row>
    <row r="13" spans="1:7" ht="18" customHeight="1">
      <c r="A13" s="79" t="s">
        <v>532</v>
      </c>
      <c r="B13" s="75">
        <v>7830</v>
      </c>
      <c r="C13" s="75">
        <v>7830</v>
      </c>
      <c r="D13" s="89">
        <v>20538</v>
      </c>
      <c r="E13" s="85">
        <f t="shared" si="0"/>
        <v>-61.87554776511832</v>
      </c>
      <c r="F13" s="85">
        <f t="shared" si="1"/>
        <v>100</v>
      </c>
      <c r="G13" s="80"/>
    </row>
    <row r="14" spans="1:7" ht="18" customHeight="1">
      <c r="A14" s="79" t="s">
        <v>533</v>
      </c>
      <c r="B14" s="75">
        <f>20558-2156</f>
        <v>18402</v>
      </c>
      <c r="C14" s="75">
        <v>-6006</v>
      </c>
      <c r="D14" s="89">
        <v>10929</v>
      </c>
      <c r="E14" s="85">
        <f t="shared" si="0"/>
        <v>68.377710678012633</v>
      </c>
      <c r="F14" s="85">
        <f t="shared" si="1"/>
        <v>-306.39360639360638</v>
      </c>
      <c r="G14" s="80"/>
    </row>
    <row r="15" spans="1:7" ht="18" customHeight="1">
      <c r="A15" s="79" t="s">
        <v>534</v>
      </c>
      <c r="B15" s="75">
        <v>1315</v>
      </c>
      <c r="C15" s="75">
        <v>1315</v>
      </c>
      <c r="D15" s="89">
        <v>1315</v>
      </c>
      <c r="E15" s="85">
        <f t="shared" si="0"/>
        <v>0</v>
      </c>
      <c r="F15" s="85">
        <f t="shared" si="1"/>
        <v>100</v>
      </c>
      <c r="G15" s="80"/>
    </row>
    <row r="16" spans="1:7" ht="18" customHeight="1">
      <c r="A16" s="79" t="s">
        <v>535</v>
      </c>
      <c r="B16" s="75">
        <v>1074</v>
      </c>
      <c r="C16" s="75">
        <v>1074</v>
      </c>
      <c r="D16" s="89">
        <v>1033</v>
      </c>
      <c r="E16" s="85">
        <f t="shared" si="0"/>
        <v>3.9690222652468541</v>
      </c>
      <c r="F16" s="85">
        <f t="shared" si="1"/>
        <v>100</v>
      </c>
      <c r="G16" s="80"/>
    </row>
    <row r="17" spans="1:7" ht="18" customHeight="1">
      <c r="A17" s="79" t="s">
        <v>536</v>
      </c>
      <c r="B17" s="75">
        <v>14585</v>
      </c>
      <c r="C17" s="75">
        <v>14585</v>
      </c>
      <c r="D17" s="89">
        <v>10838</v>
      </c>
      <c r="E17" s="85">
        <f t="shared" si="0"/>
        <v>34.572799409485143</v>
      </c>
      <c r="F17" s="85">
        <f t="shared" si="1"/>
        <v>100</v>
      </c>
      <c r="G17" s="80"/>
    </row>
    <row r="18" spans="1:7" ht="18" customHeight="1">
      <c r="A18" s="79" t="s">
        <v>537</v>
      </c>
      <c r="B18" s="75">
        <f>12570-2832</f>
        <v>9738</v>
      </c>
      <c r="C18" s="75">
        <v>9768</v>
      </c>
      <c r="D18" s="89">
        <v>9889</v>
      </c>
      <c r="E18" s="85">
        <f t="shared" si="0"/>
        <v>-1.5269491354029729</v>
      </c>
      <c r="F18" s="85">
        <f t="shared" si="1"/>
        <v>99.692874692874682</v>
      </c>
      <c r="G18" s="80"/>
    </row>
    <row r="19" spans="1:7" ht="18" customHeight="1">
      <c r="A19" s="79" t="s">
        <v>538</v>
      </c>
      <c r="B19" s="75">
        <v>1104</v>
      </c>
      <c r="C19" s="75">
        <v>1104</v>
      </c>
      <c r="D19" s="89">
        <v>1042</v>
      </c>
      <c r="E19" s="85">
        <f t="shared" si="0"/>
        <v>5.9500959692898272</v>
      </c>
      <c r="F19" s="85">
        <f t="shared" si="1"/>
        <v>100</v>
      </c>
      <c r="G19" s="80"/>
    </row>
    <row r="20" spans="1:7" ht="18" customHeight="1">
      <c r="A20" s="79" t="s">
        <v>539</v>
      </c>
      <c r="B20" s="75">
        <v>14984</v>
      </c>
      <c r="C20" s="75">
        <v>14984</v>
      </c>
      <c r="D20" s="89">
        <v>13624</v>
      </c>
      <c r="E20" s="85">
        <f t="shared" si="0"/>
        <v>9.9823840281855549</v>
      </c>
      <c r="F20" s="85">
        <f t="shared" si="1"/>
        <v>100</v>
      </c>
      <c r="G20" s="80"/>
    </row>
    <row r="21" spans="1:7" ht="18" customHeight="1">
      <c r="A21" s="79" t="s">
        <v>540</v>
      </c>
      <c r="B21" s="75">
        <v>2125</v>
      </c>
      <c r="C21" s="75">
        <v>2125</v>
      </c>
      <c r="D21" s="89">
        <v>5056</v>
      </c>
      <c r="E21" s="85">
        <f t="shared" si="0"/>
        <v>-57.970727848101269</v>
      </c>
      <c r="F21" s="85">
        <f t="shared" si="1"/>
        <v>100</v>
      </c>
      <c r="G21" s="80"/>
    </row>
    <row r="22" spans="1:7" ht="18" customHeight="1">
      <c r="A22" s="79" t="s">
        <v>541</v>
      </c>
      <c r="B22" s="75">
        <v>0</v>
      </c>
      <c r="C22" s="75"/>
      <c r="D22" s="75">
        <v>0</v>
      </c>
      <c r="E22" s="85"/>
      <c r="F22" s="85"/>
      <c r="G22" s="80"/>
    </row>
    <row r="23" spans="1:7" ht="18" customHeight="1">
      <c r="A23" s="79" t="s">
        <v>542</v>
      </c>
      <c r="B23" s="75">
        <v>0</v>
      </c>
      <c r="C23" s="75"/>
      <c r="D23" s="75">
        <v>0</v>
      </c>
      <c r="E23" s="85"/>
      <c r="F23" s="85"/>
      <c r="G23" s="80"/>
    </row>
    <row r="24" spans="1:7" ht="18" customHeight="1">
      <c r="A24" s="79" t="s">
        <v>543</v>
      </c>
      <c r="B24" s="75">
        <v>0</v>
      </c>
      <c r="C24" s="75"/>
      <c r="D24" s="75">
        <v>0</v>
      </c>
      <c r="E24" s="85"/>
      <c r="F24" s="85"/>
      <c r="G24" s="80"/>
    </row>
    <row r="25" spans="1:7" ht="18" customHeight="1">
      <c r="A25" s="79" t="s">
        <v>544</v>
      </c>
      <c r="B25" s="75">
        <v>1106</v>
      </c>
      <c r="C25" s="75">
        <v>1035</v>
      </c>
      <c r="D25" s="75">
        <v>1067</v>
      </c>
      <c r="E25" s="85">
        <f t="shared" si="0"/>
        <v>3.6551077788191186</v>
      </c>
      <c r="F25" s="85">
        <f t="shared" si="1"/>
        <v>106.85990338164251</v>
      </c>
      <c r="G25" s="80"/>
    </row>
    <row r="26" spans="1:7" ht="18" customHeight="1">
      <c r="A26" s="79" t="s">
        <v>545</v>
      </c>
      <c r="B26" s="75">
        <v>5776</v>
      </c>
      <c r="C26" s="75">
        <v>5251</v>
      </c>
      <c r="D26" s="75">
        <v>6279</v>
      </c>
      <c r="E26" s="85">
        <f t="shared" si="0"/>
        <v>-8.0108297499601839</v>
      </c>
      <c r="F26" s="85">
        <f t="shared" si="1"/>
        <v>109.99809560083793</v>
      </c>
      <c r="G26" s="80"/>
    </row>
    <row r="27" spans="1:7" ht="18" customHeight="1">
      <c r="A27" s="79" t="s">
        <v>546</v>
      </c>
      <c r="B27" s="75">
        <v>0</v>
      </c>
      <c r="C27" s="75"/>
      <c r="D27" s="75">
        <v>0</v>
      </c>
      <c r="E27" s="85"/>
      <c r="F27" s="85"/>
      <c r="G27" s="80"/>
    </row>
    <row r="28" spans="1:7" ht="18" customHeight="1">
      <c r="A28" s="79" t="s">
        <v>547</v>
      </c>
      <c r="B28" s="75">
        <v>221</v>
      </c>
      <c r="C28" s="75">
        <v>210</v>
      </c>
      <c r="D28" s="75">
        <v>441</v>
      </c>
      <c r="E28" s="85">
        <f t="shared" si="0"/>
        <v>-49.886621315192741</v>
      </c>
      <c r="F28" s="85">
        <f t="shared" si="1"/>
        <v>105.23809523809524</v>
      </c>
      <c r="G28" s="80"/>
    </row>
    <row r="29" spans="1:7" ht="18" customHeight="1">
      <c r="A29" s="79" t="s">
        <v>548</v>
      </c>
      <c r="B29" s="75">
        <v>13809</v>
      </c>
      <c r="C29" s="75">
        <v>12303</v>
      </c>
      <c r="D29" s="75">
        <v>13820</v>
      </c>
      <c r="E29" s="85">
        <f t="shared" si="0"/>
        <v>-7.9594790159189591E-2</v>
      </c>
      <c r="F29" s="85">
        <f t="shared" si="1"/>
        <v>112.24091684954888</v>
      </c>
      <c r="G29" s="80"/>
    </row>
    <row r="30" spans="1:7" ht="18" customHeight="1">
      <c r="A30" s="79" t="s">
        <v>665</v>
      </c>
      <c r="B30" s="75">
        <v>3524</v>
      </c>
      <c r="C30" s="75">
        <v>3364</v>
      </c>
      <c r="D30" s="75">
        <v>3760</v>
      </c>
      <c r="E30" s="85">
        <f t="shared" si="0"/>
        <v>-6.2765957446808507</v>
      </c>
      <c r="F30" s="85">
        <f t="shared" si="1"/>
        <v>104.75624256837099</v>
      </c>
      <c r="G30" s="80"/>
    </row>
    <row r="31" spans="1:7" ht="18" customHeight="1">
      <c r="A31" s="79" t="s">
        <v>549</v>
      </c>
      <c r="B31" s="75">
        <v>2509</v>
      </c>
      <c r="C31" s="75">
        <v>2509</v>
      </c>
      <c r="D31" s="75">
        <v>2629</v>
      </c>
      <c r="E31" s="85">
        <f t="shared" si="0"/>
        <v>-4.5644731837200458</v>
      </c>
      <c r="F31" s="85">
        <f t="shared" si="1"/>
        <v>100</v>
      </c>
      <c r="G31" s="80"/>
    </row>
    <row r="32" spans="1:7" ht="18" customHeight="1">
      <c r="A32" s="79" t="s">
        <v>550</v>
      </c>
      <c r="B32" s="75">
        <v>0</v>
      </c>
      <c r="C32" s="75"/>
      <c r="D32" s="75">
        <v>0</v>
      </c>
      <c r="E32" s="85"/>
      <c r="F32" s="85"/>
      <c r="G32" s="80"/>
    </row>
    <row r="33" spans="1:7" ht="18" customHeight="1">
      <c r="A33" s="79" t="s">
        <v>551</v>
      </c>
      <c r="B33" s="75">
        <v>33797</v>
      </c>
      <c r="C33" s="75">
        <v>29994</v>
      </c>
      <c r="D33" s="75">
        <v>26624</v>
      </c>
      <c r="E33" s="85">
        <f t="shared" si="0"/>
        <v>26.941856971153843</v>
      </c>
      <c r="F33" s="85">
        <f t="shared" si="1"/>
        <v>112.6792025071681</v>
      </c>
      <c r="G33" s="80"/>
    </row>
    <row r="34" spans="1:7" ht="18" customHeight="1">
      <c r="A34" s="79" t="s">
        <v>552</v>
      </c>
      <c r="B34" s="75">
        <v>5889</v>
      </c>
      <c r="C34" s="75">
        <v>4929</v>
      </c>
      <c r="D34" s="75">
        <v>6406</v>
      </c>
      <c r="E34" s="85">
        <f t="shared" si="0"/>
        <v>-8.0705588510771165</v>
      </c>
      <c r="F34" s="85">
        <f t="shared" si="1"/>
        <v>119.47656725502129</v>
      </c>
      <c r="G34" s="80"/>
    </row>
    <row r="35" spans="1:7" ht="18" customHeight="1">
      <c r="A35" s="79" t="s">
        <v>553</v>
      </c>
      <c r="B35" s="75">
        <v>0</v>
      </c>
      <c r="C35" s="75"/>
      <c r="D35" s="75">
        <v>0</v>
      </c>
      <c r="E35" s="85"/>
      <c r="F35" s="85"/>
      <c r="G35" s="80"/>
    </row>
    <row r="36" spans="1:7" ht="18" customHeight="1">
      <c r="A36" s="79" t="s">
        <v>554</v>
      </c>
      <c r="B36" s="75">
        <v>0</v>
      </c>
      <c r="C36" s="75"/>
      <c r="D36" s="75">
        <v>0</v>
      </c>
      <c r="E36" s="85"/>
      <c r="F36" s="85"/>
      <c r="G36" s="80"/>
    </row>
    <row r="37" spans="1:7" ht="18" customHeight="1">
      <c r="A37" s="79" t="s">
        <v>555</v>
      </c>
      <c r="B37" s="75">
        <v>0</v>
      </c>
      <c r="C37" s="75"/>
      <c r="D37" s="75">
        <v>0</v>
      </c>
      <c r="E37" s="85"/>
      <c r="F37" s="85"/>
      <c r="G37" s="80"/>
    </row>
    <row r="38" spans="1:7" ht="18" customHeight="1">
      <c r="A38" s="79" t="s">
        <v>556</v>
      </c>
      <c r="B38" s="75">
        <v>0</v>
      </c>
      <c r="C38" s="75"/>
      <c r="D38" s="75">
        <v>0</v>
      </c>
      <c r="E38" s="85"/>
      <c r="F38" s="85"/>
      <c r="G38" s="80"/>
    </row>
    <row r="39" spans="1:7" ht="18" customHeight="1">
      <c r="A39" s="79" t="s">
        <v>557</v>
      </c>
      <c r="B39" s="75">
        <v>1711</v>
      </c>
      <c r="C39" s="75">
        <v>1711</v>
      </c>
      <c r="D39" s="75">
        <v>2131</v>
      </c>
      <c r="E39" s="85">
        <f t="shared" si="0"/>
        <v>-19.709056780854059</v>
      </c>
      <c r="F39" s="85">
        <f>B39/C39*100</f>
        <v>100</v>
      </c>
      <c r="G39" s="80"/>
    </row>
    <row r="40" spans="1:7" ht="18" customHeight="1">
      <c r="A40" s="79" t="s">
        <v>558</v>
      </c>
      <c r="B40" s="75">
        <v>0</v>
      </c>
      <c r="C40" s="75"/>
      <c r="D40" s="75">
        <v>0</v>
      </c>
      <c r="E40" s="85" t="e">
        <f t="shared" si="0"/>
        <v>#DIV/0!</v>
      </c>
      <c r="F40" s="85"/>
      <c r="G40" s="80"/>
    </row>
    <row r="41" spans="1:7" s="42" customFormat="1" ht="18" customHeight="1">
      <c r="A41" s="79" t="s">
        <v>666</v>
      </c>
      <c r="B41" s="75">
        <v>238</v>
      </c>
      <c r="C41" s="75"/>
      <c r="D41" s="75"/>
      <c r="E41" s="85" t="e">
        <f t="shared" si="0"/>
        <v>#DIV/0!</v>
      </c>
      <c r="F41" s="85"/>
      <c r="G41" s="80"/>
    </row>
    <row r="42" spans="1:7" ht="18" customHeight="1">
      <c r="A42" s="79" t="s">
        <v>559</v>
      </c>
      <c r="B42" s="75"/>
      <c r="C42" s="75"/>
      <c r="D42" s="75"/>
      <c r="E42" s="85" t="e">
        <f t="shared" si="0"/>
        <v>#DIV/0!</v>
      </c>
      <c r="F42" s="85"/>
      <c r="G42" s="80"/>
    </row>
    <row r="43" spans="1:7" ht="18" customHeight="1">
      <c r="A43" s="79" t="s">
        <v>560</v>
      </c>
      <c r="B43" s="75">
        <v>147</v>
      </c>
      <c r="C43" s="75">
        <v>147</v>
      </c>
      <c r="D43" s="75">
        <v>159</v>
      </c>
      <c r="E43" s="85">
        <f t="shared" si="0"/>
        <v>-7.5471698113207548</v>
      </c>
      <c r="F43" s="85">
        <f t="shared" si="1"/>
        <v>100</v>
      </c>
      <c r="G43" s="80"/>
    </row>
    <row r="44" spans="1:7" ht="18" customHeight="1">
      <c r="A44" s="87" t="s">
        <v>561</v>
      </c>
      <c r="B44" s="75">
        <f>SUM(B45:B65)</f>
        <v>29787</v>
      </c>
      <c r="C44" s="75">
        <f>SUM(C45:C65)</f>
        <v>39490</v>
      </c>
      <c r="D44" s="75">
        <f>SUM(D45:D65)</f>
        <v>33270</v>
      </c>
      <c r="E44" s="85">
        <f t="shared" si="0"/>
        <v>-10.468890892696123</v>
      </c>
      <c r="F44" s="85">
        <f t="shared" si="1"/>
        <v>75.429222587996961</v>
      </c>
      <c r="G44" s="80"/>
    </row>
    <row r="45" spans="1:7" ht="18" customHeight="1">
      <c r="A45" s="79" t="s">
        <v>562</v>
      </c>
      <c r="B45" s="75">
        <v>403</v>
      </c>
      <c r="C45" s="75">
        <v>410</v>
      </c>
      <c r="D45" s="75">
        <v>1001</v>
      </c>
      <c r="E45" s="85">
        <f t="shared" si="0"/>
        <v>-59.740259740259738</v>
      </c>
      <c r="F45" s="85">
        <f t="shared" si="1"/>
        <v>98.292682926829272</v>
      </c>
      <c r="G45" s="80"/>
    </row>
    <row r="46" spans="1:7" ht="18" customHeight="1">
      <c r="A46" s="79" t="s">
        <v>563</v>
      </c>
      <c r="B46" s="75">
        <v>0</v>
      </c>
      <c r="C46" s="75"/>
      <c r="D46" s="75">
        <v>0</v>
      </c>
      <c r="E46" s="85"/>
      <c r="F46" s="85"/>
      <c r="G46" s="80"/>
    </row>
    <row r="47" spans="1:7" ht="18" customHeight="1">
      <c r="A47" s="79" t="s">
        <v>564</v>
      </c>
      <c r="B47" s="75">
        <v>0</v>
      </c>
      <c r="C47" s="75"/>
      <c r="D47" s="75">
        <v>0</v>
      </c>
      <c r="E47" s="85"/>
      <c r="F47" s="85"/>
      <c r="G47" s="80"/>
    </row>
    <row r="48" spans="1:7" ht="18" customHeight="1">
      <c r="A48" s="79" t="s">
        <v>565</v>
      </c>
      <c r="B48" s="75">
        <v>70</v>
      </c>
      <c r="C48" s="75">
        <v>110</v>
      </c>
      <c r="D48" s="75">
        <v>72</v>
      </c>
      <c r="E48" s="85">
        <f t="shared" si="0"/>
        <v>-2.7777777777777777</v>
      </c>
      <c r="F48" s="85">
        <f t="shared" si="1"/>
        <v>63.636363636363633</v>
      </c>
      <c r="G48" s="80"/>
    </row>
    <row r="49" spans="1:7" ht="18" customHeight="1">
      <c r="A49" s="79" t="s">
        <v>566</v>
      </c>
      <c r="B49" s="75">
        <v>71</v>
      </c>
      <c r="C49" s="75">
        <v>1164</v>
      </c>
      <c r="D49" s="75">
        <v>122</v>
      </c>
      <c r="E49" s="85">
        <f t="shared" si="0"/>
        <v>-41.803278688524593</v>
      </c>
      <c r="F49" s="85">
        <f t="shared" si="1"/>
        <v>6.0996563573883158</v>
      </c>
      <c r="G49" s="80"/>
    </row>
    <row r="50" spans="1:7" ht="18" customHeight="1">
      <c r="A50" s="79" t="s">
        <v>567</v>
      </c>
      <c r="B50" s="75">
        <v>0</v>
      </c>
      <c r="C50" s="75"/>
      <c r="D50" s="75">
        <v>0</v>
      </c>
      <c r="E50" s="85"/>
      <c r="F50" s="85"/>
      <c r="G50" s="80"/>
    </row>
    <row r="51" spans="1:7" ht="18" customHeight="1">
      <c r="A51" s="79" t="s">
        <v>628</v>
      </c>
      <c r="B51" s="75">
        <v>449</v>
      </c>
      <c r="C51" s="75">
        <v>591</v>
      </c>
      <c r="D51" s="75">
        <v>76</v>
      </c>
      <c r="E51" s="85">
        <f t="shared" si="0"/>
        <v>490.78947368421052</v>
      </c>
      <c r="F51" s="85">
        <f t="shared" si="1"/>
        <v>75.972927241962779</v>
      </c>
      <c r="G51" s="80"/>
    </row>
    <row r="52" spans="1:7" ht="18" customHeight="1">
      <c r="A52" s="79" t="s">
        <v>568</v>
      </c>
      <c r="B52" s="75">
        <v>1250</v>
      </c>
      <c r="C52" s="75">
        <v>3591</v>
      </c>
      <c r="D52" s="75">
        <v>1981</v>
      </c>
      <c r="E52" s="85">
        <f t="shared" si="0"/>
        <v>-36.900555275113575</v>
      </c>
      <c r="F52" s="85">
        <f t="shared" si="1"/>
        <v>34.809245335561123</v>
      </c>
      <c r="G52" s="80"/>
    </row>
    <row r="53" spans="1:7" ht="18" customHeight="1">
      <c r="A53" s="79" t="s">
        <v>668</v>
      </c>
      <c r="B53" s="75">
        <v>714</v>
      </c>
      <c r="C53" s="75">
        <v>1321</v>
      </c>
      <c r="D53" s="75">
        <v>5632</v>
      </c>
      <c r="E53" s="85">
        <f t="shared" si="0"/>
        <v>-87.322443181818173</v>
      </c>
      <c r="F53" s="85">
        <f t="shared" si="1"/>
        <v>54.049962149886454</v>
      </c>
      <c r="G53" s="80"/>
    </row>
    <row r="54" spans="1:7" ht="18" customHeight="1">
      <c r="A54" s="79" t="s">
        <v>569</v>
      </c>
      <c r="B54" s="75">
        <v>4787</v>
      </c>
      <c r="C54" s="75">
        <v>4641</v>
      </c>
      <c r="D54" s="75">
        <v>662</v>
      </c>
      <c r="E54" s="85">
        <f t="shared" si="0"/>
        <v>623.11178247734142</v>
      </c>
      <c r="F54" s="85">
        <f t="shared" si="1"/>
        <v>103.14587373410905</v>
      </c>
      <c r="G54" s="80"/>
    </row>
    <row r="55" spans="1:7" ht="18" customHeight="1">
      <c r="A55" s="79" t="s">
        <v>570</v>
      </c>
      <c r="B55" s="75">
        <v>129</v>
      </c>
      <c r="C55" s="75">
        <v>129</v>
      </c>
      <c r="D55" s="75">
        <v>0</v>
      </c>
      <c r="E55" s="85"/>
      <c r="F55" s="85">
        <f t="shared" si="1"/>
        <v>100</v>
      </c>
      <c r="G55" s="80"/>
    </row>
    <row r="56" spans="1:7" ht="18" customHeight="1">
      <c r="A56" s="79" t="s">
        <v>571</v>
      </c>
      <c r="B56" s="75">
        <v>16168</v>
      </c>
      <c r="C56" s="75">
        <f>22216-757</f>
        <v>21459</v>
      </c>
      <c r="D56" s="75">
        <v>16893</v>
      </c>
      <c r="E56" s="85">
        <f t="shared" si="0"/>
        <v>-4.2917184632688095</v>
      </c>
      <c r="F56" s="85">
        <f t="shared" si="1"/>
        <v>75.343678642993623</v>
      </c>
      <c r="G56" s="80"/>
    </row>
    <row r="57" spans="1:7" ht="18" customHeight="1">
      <c r="A57" s="79" t="s">
        <v>572</v>
      </c>
      <c r="B57" s="75">
        <v>26</v>
      </c>
      <c r="C57" s="75">
        <v>184</v>
      </c>
      <c r="D57" s="75">
        <v>353</v>
      </c>
      <c r="E57" s="85">
        <f t="shared" si="0"/>
        <v>-92.634560906515588</v>
      </c>
      <c r="F57" s="85">
        <f t="shared" si="1"/>
        <v>14.130434782608695</v>
      </c>
      <c r="G57" s="80"/>
    </row>
    <row r="58" spans="1:7" ht="18" customHeight="1">
      <c r="A58" s="79" t="s">
        <v>629</v>
      </c>
      <c r="B58" s="75">
        <v>33</v>
      </c>
      <c r="C58" s="75"/>
      <c r="D58" s="75">
        <v>0</v>
      </c>
      <c r="E58" s="85"/>
      <c r="F58" s="85"/>
      <c r="G58" s="80"/>
    </row>
    <row r="59" spans="1:7" ht="18" customHeight="1">
      <c r="A59" s="79" t="s">
        <v>573</v>
      </c>
      <c r="B59" s="75">
        <v>1020</v>
      </c>
      <c r="C59" s="75">
        <v>1020</v>
      </c>
      <c r="D59" s="75">
        <v>1395</v>
      </c>
      <c r="E59" s="85">
        <f t="shared" si="0"/>
        <v>-26.881720430107524</v>
      </c>
      <c r="F59" s="85">
        <f t="shared" si="1"/>
        <v>100</v>
      </c>
      <c r="G59" s="80"/>
    </row>
    <row r="60" spans="1:7" ht="18" customHeight="1">
      <c r="A60" s="79" t="s">
        <v>574</v>
      </c>
      <c r="B60" s="75">
        <v>0</v>
      </c>
      <c r="C60" s="75"/>
      <c r="D60" s="75">
        <v>0</v>
      </c>
      <c r="E60" s="85"/>
      <c r="F60" s="85"/>
      <c r="G60" s="80"/>
    </row>
    <row r="61" spans="1:7" ht="18" customHeight="1">
      <c r="A61" s="79" t="s">
        <v>575</v>
      </c>
      <c r="B61" s="75">
        <v>766</v>
      </c>
      <c r="C61" s="75">
        <v>766</v>
      </c>
      <c r="D61" s="75">
        <v>208</v>
      </c>
      <c r="E61" s="85">
        <f t="shared" si="0"/>
        <v>268.26923076923077</v>
      </c>
      <c r="F61" s="85">
        <f t="shared" si="1"/>
        <v>100</v>
      </c>
      <c r="G61" s="80"/>
    </row>
    <row r="62" spans="1:7" ht="18" customHeight="1">
      <c r="A62" s="79" t="s">
        <v>576</v>
      </c>
      <c r="B62" s="75">
        <v>3829</v>
      </c>
      <c r="C62" s="75">
        <v>3829</v>
      </c>
      <c r="D62" s="75">
        <v>2875</v>
      </c>
      <c r="E62" s="85">
        <f t="shared" si="0"/>
        <v>33.182608695652171</v>
      </c>
      <c r="F62" s="85">
        <f t="shared" si="1"/>
        <v>100</v>
      </c>
      <c r="G62" s="80"/>
    </row>
    <row r="63" spans="1:7" ht="18" customHeight="1">
      <c r="A63" s="79" t="s">
        <v>577</v>
      </c>
      <c r="B63" s="75"/>
      <c r="C63" s="75"/>
      <c r="D63" s="75">
        <v>0</v>
      </c>
      <c r="E63" s="85"/>
      <c r="F63" s="85"/>
      <c r="G63" s="80"/>
    </row>
    <row r="64" spans="1:7" ht="18" customHeight="1">
      <c r="A64" s="79" t="s">
        <v>594</v>
      </c>
      <c r="B64" s="75">
        <v>72</v>
      </c>
      <c r="C64" s="75">
        <v>275</v>
      </c>
      <c r="D64" s="75">
        <v>0</v>
      </c>
      <c r="E64" s="85"/>
      <c r="F64" s="85">
        <f t="shared" si="1"/>
        <v>26.181818181818183</v>
      </c>
      <c r="G64" s="80"/>
    </row>
    <row r="65" spans="1:7" ht="18" customHeight="1" thickBot="1">
      <c r="A65" s="81" t="s">
        <v>578</v>
      </c>
      <c r="B65" s="82"/>
      <c r="C65" s="82"/>
      <c r="D65" s="82">
        <v>2000</v>
      </c>
      <c r="E65" s="86">
        <f t="shared" si="0"/>
        <v>-100</v>
      </c>
      <c r="F65" s="86"/>
      <c r="G65" s="83"/>
    </row>
  </sheetData>
  <mergeCells count="2">
    <mergeCell ref="A1:G1"/>
    <mergeCell ref="A2:D2"/>
  </mergeCells>
  <phoneticPr fontId="0" type="noConversion"/>
  <printOptions horizontalCentered="1"/>
  <pageMargins left="0.70866141732283472" right="0.70866141732283472" top="0.39370078740157483" bottom="0.23622047244094491" header="0.23622047244094491" footer="0.15748031496062992"/>
  <pageSetup paperSize="8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J8" sqref="J8"/>
    </sheetView>
  </sheetViews>
  <sheetFormatPr defaultColWidth="9.375" defaultRowHeight="10.8"/>
  <cols>
    <col min="1" max="1" width="14.125" customWidth="1"/>
    <col min="2" max="4" width="27.5" customWidth="1"/>
  </cols>
  <sheetData>
    <row r="1" spans="1:4" ht="50.1" customHeight="1">
      <c r="A1" s="93" t="s">
        <v>692</v>
      </c>
      <c r="B1" s="93"/>
      <c r="C1" s="93"/>
      <c r="D1" s="93"/>
    </row>
    <row r="2" spans="1:4" ht="47.25" customHeight="1" thickBot="1">
      <c r="D2" s="6" t="s">
        <v>1</v>
      </c>
    </row>
    <row r="3" spans="1:4" ht="50.1" customHeight="1">
      <c r="A3" s="7" t="s">
        <v>579</v>
      </c>
      <c r="B3" s="8" t="s">
        <v>580</v>
      </c>
      <c r="C3" s="8" t="s">
        <v>581</v>
      </c>
      <c r="D3" s="9" t="s">
        <v>582</v>
      </c>
    </row>
    <row r="4" spans="1:4" ht="50.1" customHeight="1">
      <c r="A4" s="109">
        <v>2020</v>
      </c>
      <c r="B4" s="2" t="s">
        <v>583</v>
      </c>
      <c r="C4" s="2">
        <v>62168</v>
      </c>
      <c r="D4" s="10">
        <v>50334</v>
      </c>
    </row>
    <row r="5" spans="1:4" ht="50.1" customHeight="1" thickBot="1">
      <c r="A5" s="110"/>
      <c r="B5" s="11" t="s">
        <v>584</v>
      </c>
      <c r="C5" s="11">
        <f>C4</f>
        <v>62168</v>
      </c>
      <c r="D5" s="12">
        <f>D4</f>
        <v>50334</v>
      </c>
    </row>
  </sheetData>
  <mergeCells count="2">
    <mergeCell ref="A1:D1"/>
    <mergeCell ref="A4:A5"/>
  </mergeCells>
  <phoneticPr fontId="0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1"/>
  <sheetViews>
    <sheetView showZeros="0" zoomScaleSheetLayoutView="100" workbookViewId="0">
      <selection activeCell="H6" sqref="H6"/>
    </sheetView>
  </sheetViews>
  <sheetFormatPr defaultColWidth="9.375" defaultRowHeight="10.8"/>
  <cols>
    <col min="1" max="1" width="43.5" customWidth="1"/>
    <col min="2" max="2" width="19.5" customWidth="1"/>
    <col min="3" max="3" width="21.375" customWidth="1"/>
    <col min="4" max="4" width="17" customWidth="1"/>
    <col min="5" max="5" width="18" customWidth="1"/>
    <col min="6" max="32" width="12" customWidth="1"/>
  </cols>
  <sheetData>
    <row r="1" spans="1:5" ht="26.25" customHeight="1"/>
    <row r="2" spans="1:5" ht="20.399999999999999">
      <c r="A2" s="93" t="s">
        <v>693</v>
      </c>
      <c r="B2" s="93"/>
      <c r="C2" s="93"/>
      <c r="D2" s="93"/>
      <c r="E2" s="93"/>
    </row>
    <row r="3" spans="1:5" ht="26.25" customHeight="1" thickBot="1">
      <c r="E3" t="s">
        <v>1</v>
      </c>
    </row>
    <row r="4" spans="1:5" ht="30" customHeight="1">
      <c r="A4" s="113" t="s">
        <v>585</v>
      </c>
      <c r="B4" s="111" t="s">
        <v>630</v>
      </c>
      <c r="C4" s="111" t="s">
        <v>631</v>
      </c>
      <c r="D4" s="111" t="s">
        <v>632</v>
      </c>
      <c r="E4" s="112"/>
    </row>
    <row r="5" spans="1:5" ht="30" customHeight="1">
      <c r="A5" s="114"/>
      <c r="B5" s="115"/>
      <c r="C5" s="115"/>
      <c r="D5" s="5" t="s">
        <v>586</v>
      </c>
      <c r="E5" s="13" t="s">
        <v>587</v>
      </c>
    </row>
    <row r="6" spans="1:5" ht="30" customHeight="1">
      <c r="A6" s="14" t="s">
        <v>588</v>
      </c>
      <c r="B6" s="4">
        <f>SUM(B7:B9)</f>
        <v>1010</v>
      </c>
      <c r="C6" s="4">
        <f>SUM(C7:C9)</f>
        <v>1028</v>
      </c>
      <c r="D6" s="4">
        <f>SUM(D7:D9)</f>
        <v>18</v>
      </c>
      <c r="E6" s="15">
        <f t="shared" ref="E6:E11" si="0">D6/B6*100</f>
        <v>1.782178217821782</v>
      </c>
    </row>
    <row r="7" spans="1:5" ht="30" customHeight="1">
      <c r="A7" s="14" t="s">
        <v>589</v>
      </c>
      <c r="B7" s="4"/>
      <c r="C7" s="4"/>
      <c r="D7" s="4">
        <f>C7-B7</f>
        <v>0</v>
      </c>
      <c r="E7" s="15"/>
    </row>
    <row r="8" spans="1:5" ht="30" customHeight="1">
      <c r="A8" s="14" t="s">
        <v>590</v>
      </c>
      <c r="B8" s="4">
        <f>149-22</f>
        <v>127</v>
      </c>
      <c r="C8" s="4">
        <v>98</v>
      </c>
      <c r="D8" s="4">
        <f>C8-B8</f>
        <v>-29</v>
      </c>
      <c r="E8" s="15">
        <f t="shared" si="0"/>
        <v>-22.834645669291341</v>
      </c>
    </row>
    <row r="9" spans="1:5" ht="30" customHeight="1">
      <c r="A9" s="14" t="s">
        <v>591</v>
      </c>
      <c r="B9" s="4">
        <f>SUM(B10:B11)</f>
        <v>883</v>
      </c>
      <c r="C9" s="4">
        <f>SUM(C10:C11)</f>
        <v>930</v>
      </c>
      <c r="D9" s="4">
        <f>C9-B9</f>
        <v>47</v>
      </c>
      <c r="E9" s="15">
        <f t="shared" si="0"/>
        <v>5.3227633069082669</v>
      </c>
    </row>
    <row r="10" spans="1:5" ht="30" customHeight="1">
      <c r="A10" s="14" t="s">
        <v>592</v>
      </c>
      <c r="B10" s="4">
        <v>115</v>
      </c>
      <c r="C10" s="4">
        <v>50</v>
      </c>
      <c r="D10" s="4">
        <f>C10-B10</f>
        <v>-65</v>
      </c>
      <c r="E10" s="15">
        <f t="shared" si="0"/>
        <v>-56.521739130434781</v>
      </c>
    </row>
    <row r="11" spans="1:5" ht="30" customHeight="1" thickBot="1">
      <c r="A11" s="16" t="s">
        <v>593</v>
      </c>
      <c r="B11" s="17">
        <f>828-60</f>
        <v>768</v>
      </c>
      <c r="C11" s="17">
        <v>880</v>
      </c>
      <c r="D11" s="17">
        <f>C11-B11</f>
        <v>112</v>
      </c>
      <c r="E11" s="18">
        <f t="shared" si="0"/>
        <v>14.583333333333334</v>
      </c>
    </row>
    <row r="12" spans="1:5" hidden="1"/>
    <row r="13" spans="1:5" hidden="1"/>
    <row r="14" spans="1:5" hidden="1"/>
    <row r="15" spans="1:5" ht="97.5" hidden="1" customHeight="1"/>
    <row r="16" spans="1:5" hidden="1"/>
    <row r="17" hidden="1"/>
    <row r="18" hidden="1"/>
    <row r="19" hidden="1"/>
    <row r="20" hidden="1"/>
    <row r="21" hidden="1"/>
    <row r="22" hidden="1"/>
    <row r="23" ht="9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t="29.25" customHeight="1"/>
    <row r="48" ht="21" customHeight="1"/>
    <row r="49" ht="19.5" customHeight="1"/>
    <row r="50" ht="18.75" customHeight="1"/>
    <row r="51" ht="18.75" customHeight="1"/>
  </sheetData>
  <mergeCells count="5">
    <mergeCell ref="A2:E2"/>
    <mergeCell ref="D4:E4"/>
    <mergeCell ref="A4:A5"/>
    <mergeCell ref="B4:B5"/>
    <mergeCell ref="C4:C5"/>
  </mergeCells>
  <phoneticPr fontId="0" type="noConversion"/>
  <pageMargins left="1.62" right="0.75" top="1" bottom="1" header="0.51" footer="0.51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375" defaultRowHeight="10.8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皮</vt:lpstr>
      <vt:lpstr>2021本级一般公共预算收入决算表  </vt:lpstr>
      <vt:lpstr>2021年本级一般公共预算支出（功能类）</vt:lpstr>
      <vt:lpstr>2021年本级一般公共预算支出经济类</vt:lpstr>
      <vt:lpstr>2021年本级一般公共预算收支平衡表</vt:lpstr>
      <vt:lpstr>2021年本级一般公共预算转移支付决算表</vt:lpstr>
      <vt:lpstr>2021年本级政府一般债务限额及余额明细表</vt:lpstr>
      <vt:lpstr>2021年本级“三公”经费决算汇总表 </vt:lpstr>
      <vt:lpstr>Sheet2</vt:lpstr>
      <vt:lpstr>'2021年本级“三公”经费决算汇总表 '!OLE_LINK1</vt:lpstr>
      <vt:lpstr>'2021本级一般公共预算收入决算表  '!Print_Area</vt:lpstr>
      <vt:lpstr>'2021年本级一般公共预算收支平衡表'!Print_Area</vt:lpstr>
      <vt:lpstr>'2021年本级一般公共预算支出（功能类）'!Print_Area</vt:lpstr>
      <vt:lpstr>'2021年本级一般公共预算收支平衡表'!Print_Titles</vt:lpstr>
      <vt:lpstr>'2021年本级一般公共预算支出（功能类）'!Print_Titles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2022-06-13T00:53:19Z</cp:lastPrinted>
  <dcterms:created xsi:type="dcterms:W3CDTF">2010-04-26T08:10:12Z</dcterms:created>
  <dcterms:modified xsi:type="dcterms:W3CDTF">2022-06-20T01:53:49Z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